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70" windowWidth="20115" windowHeight="7575" tabRatio="682" activeTab="14"/>
  </bookViews>
  <sheets>
    <sheet name="1010" sheetId="1" r:id="rId1"/>
    <sheet name="1020" sheetId="2" r:id="rId2"/>
    <sheet name="1030" sheetId="3" r:id="rId3"/>
    <sheet name="1040" sheetId="4" r:id="rId4"/>
    <sheet name="1070" sheetId="5" r:id="rId5"/>
    <sheet name="1090" sheetId="6" r:id="rId6"/>
    <sheet name="1170" sheetId="7" r:id="rId7"/>
    <sheet name="1190" sheetId="8" r:id="rId8"/>
    <sheet name="1200" sheetId="9" r:id="rId9"/>
    <sheet name="1210" sheetId="10" r:id="rId10"/>
    <sheet name="1230" sheetId="11" r:id="rId11"/>
    <sheet name="3160" sheetId="12" r:id="rId12"/>
    <sheet name="9120" sheetId="13" r:id="rId13"/>
    <sheet name="6310" sheetId="14" r:id="rId14"/>
    <sheet name="5031" sheetId="15" r:id="rId15"/>
  </sheets>
  <definedNames>
    <definedName name="_xlnm.Print_Titles" localSheetId="0">'1010'!$42:$43</definedName>
    <definedName name="_xlnm.Print_Titles" localSheetId="1">'1020'!$43:$44</definedName>
    <definedName name="_xlnm.Print_Titles" localSheetId="2">'1030'!$39:$40</definedName>
    <definedName name="_xlnm.Print_Titles" localSheetId="4">'1070'!$39:$40</definedName>
    <definedName name="_xlnm.Print_Titles" localSheetId="5">'1090'!$42:$43</definedName>
    <definedName name="_xlnm.Print_Titles" localSheetId="6">'1170'!$41:$42</definedName>
    <definedName name="_xlnm.Print_Titles" localSheetId="7">'1190'!$39:$40</definedName>
    <definedName name="_xlnm.Print_Titles" localSheetId="8">'1200'!$39:$40</definedName>
    <definedName name="_xlnm.Print_Titles" localSheetId="9">'1210'!$39:$40</definedName>
    <definedName name="_xlnm.Print_Titles" localSheetId="10">'1230'!$39:$40</definedName>
    <definedName name="_xlnm.Print_Titles" localSheetId="11">'3160'!$39:$40</definedName>
    <definedName name="_xlnm.Print_Titles" localSheetId="14">'5031'!$41:$42</definedName>
    <definedName name="_xlnm.Print_Titles" localSheetId="13">'6310'!$41:$42</definedName>
    <definedName name="_xlnm.Print_Titles" localSheetId="12">'9120'!$39:$40</definedName>
    <definedName name="_xlnm.Print_Area" localSheetId="0">'1010'!$A$1:$P$116</definedName>
    <definedName name="_xlnm.Print_Area" localSheetId="1">'1020'!$A$1:$P$123</definedName>
    <definedName name="_xlnm.Print_Area" localSheetId="2">'1030'!$A$1:$P$78</definedName>
    <definedName name="_xlnm.Print_Area" localSheetId="3">'1040'!$A$1:$P$102</definedName>
    <definedName name="_xlnm.Print_Area" localSheetId="4">'1070'!$A$1:$P$80</definedName>
    <definedName name="_xlnm.Print_Area" localSheetId="5">'1090'!$A$1:$P$115</definedName>
    <definedName name="_xlnm.Print_Area" localSheetId="6">'1170'!$A$1:$P$109</definedName>
    <definedName name="_xlnm.Print_Area" localSheetId="7">'1190'!$A$1:$P$74</definedName>
    <definedName name="_xlnm.Print_Area" localSheetId="8">'1200'!$A$1:$P$76</definedName>
    <definedName name="_xlnm.Print_Area" localSheetId="9">'1210'!$A$1:$P$76</definedName>
    <definedName name="_xlnm.Print_Area" localSheetId="10">'1230'!$A$1:$P$70</definedName>
    <definedName name="_xlnm.Print_Area" localSheetId="11">'3160'!$A$1:$P$72</definedName>
    <definedName name="_xlnm.Print_Area" localSheetId="14">'5031'!$A$1:$P$108</definedName>
    <definedName name="_xlnm.Print_Area" localSheetId="13">'6310'!$A$1:$P$85</definedName>
    <definedName name="_xlnm.Print_Area" localSheetId="12">'9120'!$A$1:$P$72</definedName>
  </definedNames>
  <calcPr calcId="144525"/>
</workbook>
</file>

<file path=xl/calcChain.xml><?xml version="1.0" encoding="utf-8"?>
<calcChain xmlns="http://schemas.openxmlformats.org/spreadsheetml/2006/main">
  <c r="M108" i="15" l="1"/>
  <c r="A108" i="15"/>
  <c r="M85" i="14"/>
  <c r="A85" i="14"/>
  <c r="M72" i="13"/>
  <c r="A72" i="13"/>
  <c r="M72" i="12"/>
  <c r="A72" i="12"/>
  <c r="M70" i="11"/>
  <c r="A70" i="11"/>
  <c r="M76" i="10"/>
  <c r="A76" i="10"/>
  <c r="M74" i="8" l="1"/>
  <c r="A74" i="8"/>
  <c r="M109" i="7"/>
  <c r="A109" i="7"/>
  <c r="M115" i="6"/>
  <c r="A115" i="6"/>
  <c r="M80" i="5"/>
  <c r="A80" i="5"/>
  <c r="M102" i="4"/>
  <c r="A102" i="4"/>
  <c r="M78" i="3"/>
  <c r="A78" i="3"/>
  <c r="M123" i="2"/>
  <c r="A123" i="2"/>
  <c r="M58" i="6"/>
  <c r="K58" i="6"/>
  <c r="K76" i="4"/>
  <c r="O60" i="4"/>
  <c r="O58" i="4"/>
  <c r="O57" i="4"/>
  <c r="O55" i="4"/>
  <c r="M58" i="4"/>
  <c r="M60" i="4"/>
  <c r="K60" i="4"/>
  <c r="M68" i="4"/>
  <c r="K68" i="4"/>
  <c r="M67" i="4"/>
  <c r="K67" i="4"/>
  <c r="M54" i="7" l="1"/>
  <c r="M53" i="7"/>
  <c r="O77" i="15"/>
  <c r="O76" i="15"/>
  <c r="M67" i="15"/>
  <c r="O67" i="15"/>
  <c r="O66" i="15"/>
  <c r="M60" i="15"/>
  <c r="O60" i="15" s="1"/>
  <c r="M55" i="15"/>
  <c r="M62" i="15" s="1"/>
  <c r="O54" i="15"/>
  <c r="O50" i="15"/>
  <c r="O49" i="15"/>
  <c r="O48" i="15"/>
  <c r="M30" i="15"/>
  <c r="K29" i="15"/>
  <c r="I21" i="15"/>
  <c r="K30" i="15"/>
  <c r="J29" i="15"/>
  <c r="G21" i="15"/>
  <c r="O55" i="15" l="1"/>
  <c r="M51" i="10" l="1"/>
  <c r="O51" i="10" s="1"/>
  <c r="O46" i="10"/>
  <c r="O51" i="9"/>
  <c r="M45" i="9"/>
  <c r="O46" i="9"/>
  <c r="O45" i="9"/>
  <c r="O51" i="8"/>
  <c r="O46" i="8" l="1"/>
  <c r="O45" i="8"/>
  <c r="O54" i="7"/>
  <c r="O53" i="7"/>
  <c r="O73" i="7" l="1"/>
  <c r="M68" i="7"/>
  <c r="K36" i="7"/>
  <c r="K29" i="7"/>
  <c r="J29" i="7"/>
  <c r="O75" i="7"/>
  <c r="O74" i="7"/>
  <c r="M48" i="7"/>
  <c r="M47" i="7"/>
  <c r="O47" i="7" s="1"/>
  <c r="O48" i="7"/>
  <c r="N37" i="7"/>
  <c r="N28" i="7"/>
  <c r="I21" i="7"/>
  <c r="G21" i="7"/>
  <c r="J28" i="7" s="1"/>
  <c r="M67" i="6" l="1"/>
  <c r="O67" i="6"/>
  <c r="M54" i="6"/>
  <c r="O54" i="6" s="1"/>
  <c r="M48" i="6"/>
  <c r="M49" i="6"/>
  <c r="O49" i="6" s="1"/>
  <c r="O48" i="6"/>
  <c r="O47" i="6"/>
  <c r="N38" i="6"/>
  <c r="K30" i="6"/>
  <c r="M30" i="6"/>
  <c r="N29" i="6"/>
  <c r="K28" i="6"/>
  <c r="J28" i="6"/>
  <c r="I21" i="6"/>
  <c r="G21" i="6"/>
  <c r="O51" i="5" l="1"/>
  <c r="O46" i="5"/>
  <c r="O45" i="5"/>
  <c r="O44" i="5"/>
  <c r="K28" i="5"/>
  <c r="N28" i="5" s="1"/>
  <c r="I21" i="5"/>
  <c r="O21" i="5" s="1"/>
  <c r="O74" i="4" l="1"/>
  <c r="O73" i="4"/>
  <c r="O50" i="4"/>
  <c r="O49" i="4"/>
  <c r="O48" i="4"/>
  <c r="O47" i="4"/>
  <c r="M56" i="2"/>
  <c r="J37" i="4"/>
  <c r="M30" i="4" l="1"/>
  <c r="K30" i="4"/>
  <c r="N30" i="4" s="1"/>
  <c r="H30" i="4"/>
  <c r="K29" i="4"/>
  <c r="H29" i="4"/>
  <c r="H28" i="4" s="1"/>
  <c r="I21" i="4"/>
  <c r="G21" i="4"/>
  <c r="O46" i="3"/>
  <c r="O45" i="3"/>
  <c r="O44" i="3"/>
  <c r="O56" i="2"/>
  <c r="O50" i="2"/>
  <c r="O88" i="2"/>
  <c r="O79" i="2"/>
  <c r="O78" i="2"/>
  <c r="O77" i="2"/>
  <c r="O76" i="2"/>
  <c r="O48" i="2"/>
  <c r="J38" i="2"/>
  <c r="N29" i="4" l="1"/>
  <c r="N28" i="4" s="1"/>
  <c r="K28" i="4"/>
  <c r="K29" i="2"/>
  <c r="G29" i="2"/>
  <c r="G21" i="2"/>
  <c r="J29" i="2" s="1"/>
  <c r="A21" i="2"/>
  <c r="M21" i="2" s="1"/>
  <c r="N31" i="2"/>
  <c r="M30" i="2"/>
  <c r="O90" i="1"/>
  <c r="O82" i="1"/>
  <c r="O81" i="1"/>
  <c r="O80" i="1"/>
  <c r="O55" i="1"/>
  <c r="O48" i="1"/>
  <c r="O47" i="1"/>
  <c r="N38" i="1"/>
  <c r="M30" i="1"/>
  <c r="M70" i="2"/>
  <c r="M29" i="2" l="1"/>
  <c r="K70" i="2" l="1"/>
  <c r="M51" i="2"/>
  <c r="O51" i="2" s="1"/>
  <c r="M49" i="2"/>
  <c r="O49" i="2" s="1"/>
  <c r="H29" i="2"/>
  <c r="K30" i="2"/>
  <c r="H30" i="2"/>
  <c r="K28" i="2"/>
  <c r="I21" i="2"/>
  <c r="M74" i="1"/>
  <c r="M75" i="1"/>
  <c r="K74" i="1"/>
  <c r="J37" i="1"/>
  <c r="K29" i="1"/>
  <c r="K30" i="1"/>
  <c r="O74" i="1" l="1"/>
  <c r="N30" i="2"/>
  <c r="H28" i="2"/>
  <c r="N28" i="2" s="1"/>
  <c r="N29" i="2"/>
  <c r="K84" i="2"/>
  <c r="O70" i="2"/>
  <c r="M56" i="1"/>
  <c r="O56" i="1" s="1"/>
  <c r="K37" i="1"/>
  <c r="K28" i="1"/>
  <c r="H37" i="1"/>
  <c r="H30" i="1"/>
  <c r="N30" i="1" s="1"/>
  <c r="I21" i="1"/>
  <c r="M50" i="1"/>
  <c r="O50" i="1" s="1"/>
  <c r="Q47" i="1"/>
  <c r="M49" i="1"/>
  <c r="O49" i="1" s="1"/>
  <c r="N37" i="1" l="1"/>
  <c r="M74" i="15"/>
  <c r="M73" i="15"/>
  <c r="K73" i="15"/>
  <c r="K79" i="15" s="1"/>
  <c r="K62" i="15"/>
  <c r="O62" i="15" s="1"/>
  <c r="M79" i="15" l="1"/>
  <c r="O73" i="15"/>
  <c r="M80" i="15"/>
  <c r="G29" i="7"/>
  <c r="M29" i="7" s="1"/>
  <c r="M68" i="6"/>
  <c r="O68" i="6" s="1"/>
  <c r="K28" i="3"/>
  <c r="H28" i="3"/>
  <c r="C21" i="2"/>
  <c r="O21" i="2" s="1"/>
  <c r="P21" i="2" s="1"/>
  <c r="K37" i="15" l="1"/>
  <c r="H30" i="15"/>
  <c r="I30" i="15" s="1"/>
  <c r="K72" i="15" s="1"/>
  <c r="J28" i="15"/>
  <c r="H29" i="15"/>
  <c r="G29" i="15"/>
  <c r="M29" i="15" s="1"/>
  <c r="K28" i="15"/>
  <c r="G28" i="15"/>
  <c r="C21" i="15"/>
  <c r="O21" i="15" s="1"/>
  <c r="A21" i="15"/>
  <c r="M21" i="15" s="1"/>
  <c r="M82" i="15"/>
  <c r="O82" i="15" s="1"/>
  <c r="O47" i="15"/>
  <c r="M37" i="15"/>
  <c r="L29" i="15"/>
  <c r="M46" i="15" s="1"/>
  <c r="K21" i="15"/>
  <c r="O60" i="14"/>
  <c r="M46" i="14"/>
  <c r="O46" i="14" s="1"/>
  <c r="M30" i="14"/>
  <c r="L30" i="14"/>
  <c r="M58" i="14" s="1"/>
  <c r="H29" i="14"/>
  <c r="I21" i="14"/>
  <c r="C21" i="14"/>
  <c r="H30" i="14" s="1"/>
  <c r="N30" i="14" s="1"/>
  <c r="K29" i="14"/>
  <c r="J29" i="14"/>
  <c r="G29" i="14"/>
  <c r="M21" i="14"/>
  <c r="K21" i="14"/>
  <c r="E21" i="14"/>
  <c r="I21" i="13"/>
  <c r="C21" i="13"/>
  <c r="K28" i="13"/>
  <c r="H28" i="13"/>
  <c r="H35" i="13" s="1"/>
  <c r="G28" i="13"/>
  <c r="K21" i="13"/>
  <c r="M43" i="13" s="1"/>
  <c r="J28" i="13"/>
  <c r="E21" i="13"/>
  <c r="K43" i="13" s="1"/>
  <c r="M21" i="13"/>
  <c r="G21" i="12"/>
  <c r="A21" i="12"/>
  <c r="K28" i="12"/>
  <c r="H28" i="12"/>
  <c r="O21" i="12"/>
  <c r="G28" i="12"/>
  <c r="G21" i="11"/>
  <c r="M21" i="11" s="1"/>
  <c r="A21" i="11"/>
  <c r="G28" i="11" s="1"/>
  <c r="G35" i="11" s="1"/>
  <c r="K28" i="11"/>
  <c r="O21" i="11"/>
  <c r="M45" i="10"/>
  <c r="O45" i="10" s="1"/>
  <c r="I21" i="10"/>
  <c r="G21" i="10"/>
  <c r="M21" i="10" s="1"/>
  <c r="A21" i="10"/>
  <c r="C21" i="10"/>
  <c r="K47" i="10"/>
  <c r="O44" i="10"/>
  <c r="K28" i="10"/>
  <c r="G28" i="10"/>
  <c r="I21" i="9"/>
  <c r="K28" i="9" s="1"/>
  <c r="N28" i="9" s="1"/>
  <c r="G21" i="9"/>
  <c r="C21" i="9"/>
  <c r="H28" i="9" s="1"/>
  <c r="A21" i="9"/>
  <c r="G28" i="9" s="1"/>
  <c r="K47" i="9"/>
  <c r="K53" i="9" s="1"/>
  <c r="O44" i="9"/>
  <c r="J28" i="9"/>
  <c r="M28" i="9" s="1"/>
  <c r="K21" i="9"/>
  <c r="M43" i="9" s="1"/>
  <c r="K54" i="8"/>
  <c r="M52" i="8"/>
  <c r="O52" i="8" s="1"/>
  <c r="K52" i="8"/>
  <c r="M47" i="8"/>
  <c r="M54" i="8"/>
  <c r="I21" i="8"/>
  <c r="G21" i="8"/>
  <c r="C21" i="8"/>
  <c r="H28" i="8" s="1"/>
  <c r="A21" i="8"/>
  <c r="G28" i="8" s="1"/>
  <c r="K47" i="8"/>
  <c r="O44" i="8"/>
  <c r="K21" i="8"/>
  <c r="M43" i="8" s="1"/>
  <c r="M84" i="7"/>
  <c r="M66" i="7"/>
  <c r="M67" i="7"/>
  <c r="O67" i="7" s="1"/>
  <c r="K68" i="7"/>
  <c r="O68" i="7" s="1"/>
  <c r="K66" i="7"/>
  <c r="K67" i="7"/>
  <c r="K58" i="7"/>
  <c r="M56" i="7"/>
  <c r="K56" i="7"/>
  <c r="J37" i="7"/>
  <c r="G37" i="7"/>
  <c r="J36" i="7"/>
  <c r="H36" i="7"/>
  <c r="N36" i="7" s="1"/>
  <c r="G36" i="7"/>
  <c r="H29" i="7"/>
  <c r="N29" i="7" s="1"/>
  <c r="K69" i="7"/>
  <c r="M69" i="7"/>
  <c r="O69" i="7" s="1"/>
  <c r="G28" i="7"/>
  <c r="M28" i="7" s="1"/>
  <c r="K21" i="7"/>
  <c r="C21" i="7"/>
  <c r="O21" i="7" s="1"/>
  <c r="A21" i="7"/>
  <c r="M21" i="7" s="1"/>
  <c r="M81" i="7"/>
  <c r="M80" i="7"/>
  <c r="K80" i="7"/>
  <c r="M79" i="7"/>
  <c r="K49" i="7"/>
  <c r="O46" i="7"/>
  <c r="L37" i="7"/>
  <c r="I37" i="7"/>
  <c r="L36" i="7"/>
  <c r="L28" i="7"/>
  <c r="M45" i="7" s="1"/>
  <c r="M69" i="6"/>
  <c r="K69" i="6"/>
  <c r="O66" i="6"/>
  <c r="J38" i="6"/>
  <c r="G38" i="6"/>
  <c r="K37" i="6"/>
  <c r="J37" i="6"/>
  <c r="H37" i="6"/>
  <c r="G37" i="6"/>
  <c r="J29" i="6"/>
  <c r="H30" i="6"/>
  <c r="N30" i="6" s="1"/>
  <c r="G29" i="6"/>
  <c r="H28" i="6"/>
  <c r="N28" i="6" s="1"/>
  <c r="G28" i="6"/>
  <c r="M28" i="6" s="1"/>
  <c r="C21" i="6"/>
  <c r="O21" i="6" s="1"/>
  <c r="A21" i="6"/>
  <c r="M21" i="6" s="1"/>
  <c r="O90" i="6"/>
  <c r="O86" i="6"/>
  <c r="O73" i="6"/>
  <c r="M77" i="6"/>
  <c r="O77" i="6" s="1"/>
  <c r="K50" i="6"/>
  <c r="L30" i="6"/>
  <c r="M84" i="6" s="1"/>
  <c r="I30" i="6"/>
  <c r="K84" i="6" s="1"/>
  <c r="K88" i="6" s="1"/>
  <c r="L29" i="6"/>
  <c r="M65" i="6" s="1"/>
  <c r="O55" i="5"/>
  <c r="K55" i="5"/>
  <c r="K47" i="5"/>
  <c r="N35" i="5"/>
  <c r="L35" i="5"/>
  <c r="G35" i="5"/>
  <c r="M35" i="5" s="1"/>
  <c r="O35" i="5" s="1"/>
  <c r="J28" i="5"/>
  <c r="M28" i="5" s="1"/>
  <c r="G28" i="5"/>
  <c r="G21" i="5"/>
  <c r="A21" i="5"/>
  <c r="E21" i="5" s="1"/>
  <c r="K43" i="5" s="1"/>
  <c r="K60" i="5"/>
  <c r="M69" i="4"/>
  <c r="O68" i="4"/>
  <c r="K69" i="4"/>
  <c r="K58" i="4"/>
  <c r="K37" i="4"/>
  <c r="J38" i="4"/>
  <c r="G38" i="4"/>
  <c r="M38" i="4" s="1"/>
  <c r="H37" i="4"/>
  <c r="G37" i="4"/>
  <c r="M37" i="4" s="1"/>
  <c r="J29" i="4"/>
  <c r="G29" i="4"/>
  <c r="G28" i="4" s="1"/>
  <c r="I28" i="4" s="1"/>
  <c r="C21" i="4"/>
  <c r="O21" i="4" s="1"/>
  <c r="A21" i="4"/>
  <c r="M21" i="4" s="1"/>
  <c r="P21" i="4" s="1"/>
  <c r="O79" i="4"/>
  <c r="K51" i="4"/>
  <c r="N38" i="4"/>
  <c r="L38" i="4"/>
  <c r="I30" i="4"/>
  <c r="K21" i="4"/>
  <c r="K50" i="3"/>
  <c r="M48" i="3"/>
  <c r="G21" i="3"/>
  <c r="A21" i="3"/>
  <c r="K55" i="3"/>
  <c r="N28" i="3"/>
  <c r="K21" i="3"/>
  <c r="M43" i="3" s="1"/>
  <c r="O21" i="3"/>
  <c r="O100" i="2"/>
  <c r="O96" i="2"/>
  <c r="M94" i="2"/>
  <c r="M98" i="2" s="1"/>
  <c r="K94" i="2"/>
  <c r="K98" i="2" s="1"/>
  <c r="K58" i="2"/>
  <c r="M61" i="2"/>
  <c r="K52" i="2"/>
  <c r="K65" i="1"/>
  <c r="M66" i="1"/>
  <c r="K61" i="1"/>
  <c r="K28" i="8" l="1"/>
  <c r="N28" i="8" s="1"/>
  <c r="O21" i="8"/>
  <c r="O47" i="8"/>
  <c r="K21" i="12"/>
  <c r="M43" i="12" s="1"/>
  <c r="M21" i="12"/>
  <c r="M49" i="13"/>
  <c r="O49" i="13" s="1"/>
  <c r="O43" i="13"/>
  <c r="O61" i="1"/>
  <c r="K66" i="1"/>
  <c r="O66" i="1" s="1"/>
  <c r="O61" i="2"/>
  <c r="M76" i="4"/>
  <c r="L29" i="4"/>
  <c r="M46" i="4" s="1"/>
  <c r="J28" i="4"/>
  <c r="L28" i="4" s="1"/>
  <c r="N37" i="4"/>
  <c r="M77" i="4"/>
  <c r="O69" i="4"/>
  <c r="L28" i="5"/>
  <c r="M75" i="6"/>
  <c r="M88" i="6"/>
  <c r="O88" i="6" s="1"/>
  <c r="O84" i="6"/>
  <c r="O69" i="6"/>
  <c r="M36" i="7"/>
  <c r="M37" i="7"/>
  <c r="O37" i="7" s="1"/>
  <c r="O56" i="7"/>
  <c r="M83" i="7"/>
  <c r="O66" i="7"/>
  <c r="J28" i="8"/>
  <c r="M28" i="8" s="1"/>
  <c r="M21" i="8"/>
  <c r="P21" i="8" s="1"/>
  <c r="K21" i="10"/>
  <c r="M43" i="10" s="1"/>
  <c r="O21" i="10"/>
  <c r="M47" i="10"/>
  <c r="O47" i="10" s="1"/>
  <c r="K21" i="11"/>
  <c r="M43" i="11" s="1"/>
  <c r="K35" i="13"/>
  <c r="N35" i="13" s="1"/>
  <c r="N28" i="13"/>
  <c r="O21" i="13"/>
  <c r="O21" i="14"/>
  <c r="L37" i="15"/>
  <c r="M72" i="15" s="1"/>
  <c r="O72" i="15" s="1"/>
  <c r="M61" i="15"/>
  <c r="M59" i="15"/>
  <c r="H28" i="15"/>
  <c r="N28" i="15" s="1"/>
  <c r="O28" i="15" s="1"/>
  <c r="N29" i="15"/>
  <c r="O29" i="15" s="1"/>
  <c r="H37" i="15"/>
  <c r="N37" i="15" s="1"/>
  <c r="O37" i="15" s="1"/>
  <c r="N30" i="15"/>
  <c r="O30" i="15" s="1"/>
  <c r="M28" i="15"/>
  <c r="M29" i="14"/>
  <c r="M28" i="14" s="1"/>
  <c r="G28" i="14"/>
  <c r="K37" i="14"/>
  <c r="K28" i="14"/>
  <c r="N29" i="14"/>
  <c r="N28" i="14" s="1"/>
  <c r="J37" i="14"/>
  <c r="J28" i="14"/>
  <c r="K45" i="14"/>
  <c r="K51" i="14" s="1"/>
  <c r="H28" i="14"/>
  <c r="O21" i="9"/>
  <c r="M21" i="9"/>
  <c r="P21" i="7"/>
  <c r="M37" i="6"/>
  <c r="M29" i="6"/>
  <c r="N37" i="6"/>
  <c r="L38" i="6"/>
  <c r="M38" i="6"/>
  <c r="K21" i="5"/>
  <c r="M43" i="5" s="1"/>
  <c r="M21" i="5"/>
  <c r="P21" i="5" s="1"/>
  <c r="K61" i="2"/>
  <c r="O58" i="2"/>
  <c r="M60" i="5"/>
  <c r="M57" i="4"/>
  <c r="M29" i="4"/>
  <c r="M28" i="4" s="1"/>
  <c r="O28" i="4" s="1"/>
  <c r="M51" i="3"/>
  <c r="M21" i="3"/>
  <c r="J28" i="3"/>
  <c r="L28" i="3" s="1"/>
  <c r="E21" i="3"/>
  <c r="K43" i="3" s="1"/>
  <c r="K51" i="3" s="1"/>
  <c r="G28" i="3"/>
  <c r="I28" i="3" s="1"/>
  <c r="M50" i="3"/>
  <c r="O48" i="3"/>
  <c r="L30" i="15"/>
  <c r="K74" i="15"/>
  <c r="O74" i="15" s="1"/>
  <c r="O67" i="4"/>
  <c r="I35" i="11"/>
  <c r="N28" i="12"/>
  <c r="M45" i="13"/>
  <c r="O45" i="13" s="1"/>
  <c r="M47" i="5"/>
  <c r="O47" i="5" s="1"/>
  <c r="M65" i="1"/>
  <c r="O65" i="1" s="1"/>
  <c r="O98" i="2"/>
  <c r="L30" i="4"/>
  <c r="I38" i="6"/>
  <c r="K21" i="6"/>
  <c r="L28" i="6"/>
  <c r="M46" i="6" s="1"/>
  <c r="M56" i="6" s="1"/>
  <c r="L37" i="6"/>
  <c r="M58" i="7"/>
  <c r="O58" i="7" s="1"/>
  <c r="M45" i="11"/>
  <c r="L28" i="15"/>
  <c r="P21" i="15"/>
  <c r="I29" i="15"/>
  <c r="K46" i="15" s="1"/>
  <c r="O46" i="15" s="1"/>
  <c r="E21" i="15"/>
  <c r="I37" i="15"/>
  <c r="I30" i="14"/>
  <c r="K58" i="14" s="1"/>
  <c r="O58" i="14" s="1"/>
  <c r="K50" i="14"/>
  <c r="O30" i="14"/>
  <c r="H37" i="14"/>
  <c r="N37" i="14" s="1"/>
  <c r="L29" i="14"/>
  <c r="M45" i="14" s="1"/>
  <c r="L37" i="14"/>
  <c r="P21" i="14"/>
  <c r="O48" i="14"/>
  <c r="G37" i="14"/>
  <c r="I29" i="14"/>
  <c r="P21" i="13"/>
  <c r="M28" i="13"/>
  <c r="O28" i="13" s="1"/>
  <c r="J35" i="13"/>
  <c r="L35" i="13" s="1"/>
  <c r="L28" i="13"/>
  <c r="G35" i="13"/>
  <c r="I28" i="13"/>
  <c r="I28" i="12"/>
  <c r="G35" i="12"/>
  <c r="P21" i="12"/>
  <c r="J28" i="12"/>
  <c r="M28" i="12" s="1"/>
  <c r="E21" i="12"/>
  <c r="K43" i="12" s="1"/>
  <c r="K45" i="12" s="1"/>
  <c r="P21" i="11"/>
  <c r="E21" i="11"/>
  <c r="K43" i="11" s="1"/>
  <c r="K45" i="11" s="1"/>
  <c r="H28" i="11"/>
  <c r="N28" i="11" s="1"/>
  <c r="J28" i="11"/>
  <c r="M28" i="11" s="1"/>
  <c r="P21" i="10"/>
  <c r="E21" i="10"/>
  <c r="K43" i="10" s="1"/>
  <c r="H28" i="10"/>
  <c r="N28" i="10" s="1"/>
  <c r="J28" i="10"/>
  <c r="L28" i="9"/>
  <c r="P21" i="9"/>
  <c r="M47" i="9"/>
  <c r="O47" i="9" s="1"/>
  <c r="E21" i="9"/>
  <c r="K43" i="9" s="1"/>
  <c r="O43" i="9" s="1"/>
  <c r="L28" i="8"/>
  <c r="I28" i="8"/>
  <c r="O28" i="8"/>
  <c r="E21" i="8"/>
  <c r="K43" i="8" s="1"/>
  <c r="O43" i="8" s="1"/>
  <c r="O54" i="8"/>
  <c r="O83" i="7"/>
  <c r="L29" i="7"/>
  <c r="M65" i="7" s="1"/>
  <c r="M49" i="7"/>
  <c r="O49" i="7" s="1"/>
  <c r="O84" i="7"/>
  <c r="O36" i="7"/>
  <c r="O29" i="7"/>
  <c r="I29" i="7"/>
  <c r="K65" i="7" s="1"/>
  <c r="O28" i="7"/>
  <c r="E21" i="7"/>
  <c r="I28" i="7"/>
  <c r="K45" i="7" s="1"/>
  <c r="O45" i="7" s="1"/>
  <c r="I36" i="7"/>
  <c r="K79" i="7"/>
  <c r="K81" i="7"/>
  <c r="M50" i="6"/>
  <c r="O50" i="6" s="1"/>
  <c r="O38" i="6"/>
  <c r="O30" i="6"/>
  <c r="P21" i="6"/>
  <c r="O28" i="6"/>
  <c r="O29" i="6"/>
  <c r="O37" i="6"/>
  <c r="I28" i="6"/>
  <c r="K46" i="6" s="1"/>
  <c r="K56" i="6" s="1"/>
  <c r="I29" i="6"/>
  <c r="K65" i="6" s="1"/>
  <c r="O65" i="6" s="1"/>
  <c r="E21" i="6"/>
  <c r="I37" i="6"/>
  <c r="I35" i="5"/>
  <c r="K56" i="5"/>
  <c r="I28" i="5"/>
  <c r="O28" i="5" s="1"/>
  <c r="I38" i="4"/>
  <c r="O80" i="4"/>
  <c r="M51" i="4"/>
  <c r="O51" i="4" s="1"/>
  <c r="L37" i="4"/>
  <c r="K77" i="4"/>
  <c r="O38" i="4"/>
  <c r="O37" i="4"/>
  <c r="O29" i="4"/>
  <c r="O30" i="4"/>
  <c r="E21" i="4"/>
  <c r="I29" i="4"/>
  <c r="K46" i="4" s="1"/>
  <c r="K57" i="4" s="1"/>
  <c r="I37" i="4"/>
  <c r="P21" i="3"/>
  <c r="O94" i="2"/>
  <c r="M52" i="2"/>
  <c r="O52" i="2" s="1"/>
  <c r="K51" i="1"/>
  <c r="M47" i="11" l="1"/>
  <c r="O45" i="11"/>
  <c r="M45" i="12"/>
  <c r="O43" i="12"/>
  <c r="L28" i="10"/>
  <c r="M28" i="10"/>
  <c r="I28" i="11"/>
  <c r="O65" i="7"/>
  <c r="M49" i="12"/>
  <c r="O49" i="12" s="1"/>
  <c r="O29" i="14"/>
  <c r="I28" i="15"/>
  <c r="O43" i="11"/>
  <c r="M53" i="10"/>
  <c r="O43" i="10"/>
  <c r="M47" i="13"/>
  <c r="L28" i="14"/>
  <c r="O45" i="14"/>
  <c r="I28" i="14"/>
  <c r="O28" i="14"/>
  <c r="O56" i="6"/>
  <c r="O46" i="6"/>
  <c r="M56" i="5"/>
  <c r="O56" i="5" s="1"/>
  <c r="O43" i="5"/>
  <c r="O46" i="4"/>
  <c r="O51" i="3"/>
  <c r="M28" i="3"/>
  <c r="O28" i="3" s="1"/>
  <c r="O43" i="3"/>
  <c r="M55" i="3"/>
  <c r="O55" i="3" s="1"/>
  <c r="O50" i="3"/>
  <c r="M83" i="15"/>
  <c r="O83" i="15" s="1"/>
  <c r="K80" i="15"/>
  <c r="K59" i="15"/>
  <c r="O59" i="15" s="1"/>
  <c r="K61" i="15"/>
  <c r="O61" i="15" s="1"/>
  <c r="M51" i="1"/>
  <c r="O51" i="1" s="1"/>
  <c r="K53" i="10"/>
  <c r="O53" i="10" s="1"/>
  <c r="M53" i="9"/>
  <c r="O53" i="9" s="1"/>
  <c r="L28" i="11"/>
  <c r="J35" i="11"/>
  <c r="M53" i="14"/>
  <c r="O53" i="14" s="1"/>
  <c r="M51" i="14"/>
  <c r="M50" i="14"/>
  <c r="O50" i="14" s="1"/>
  <c r="O51" i="14"/>
  <c r="K62" i="14"/>
  <c r="O62" i="14" s="1"/>
  <c r="M37" i="14"/>
  <c r="O37" i="14" s="1"/>
  <c r="I37" i="14"/>
  <c r="I35" i="13"/>
  <c r="M35" i="13"/>
  <c r="O35" i="13" s="1"/>
  <c r="K47" i="13"/>
  <c r="J35" i="12"/>
  <c r="L35" i="12" s="1"/>
  <c r="L28" i="12"/>
  <c r="I35" i="12"/>
  <c r="K47" i="12"/>
  <c r="O28" i="12"/>
  <c r="O28" i="11"/>
  <c r="K47" i="11"/>
  <c r="O47" i="11" s="1"/>
  <c r="O28" i="10"/>
  <c r="I28" i="10"/>
  <c r="O28" i="9"/>
  <c r="I28" i="9"/>
  <c r="K75" i="6"/>
  <c r="O75" i="6" s="1"/>
  <c r="O45" i="12" l="1"/>
  <c r="M47" i="12"/>
  <c r="O47" i="12" s="1"/>
  <c r="L35" i="11"/>
  <c r="M35" i="11"/>
  <c r="O35" i="11" s="1"/>
  <c r="O47" i="13"/>
  <c r="M35" i="12"/>
  <c r="O35" i="12" s="1"/>
  <c r="M69" i="2" l="1"/>
  <c r="M72" i="2"/>
  <c r="K72" i="2"/>
  <c r="K86" i="2" s="1"/>
  <c r="K71" i="2"/>
  <c r="O71" i="2" s="1"/>
  <c r="K69" i="2"/>
  <c r="J39" i="2"/>
  <c r="G39" i="2"/>
  <c r="K38" i="2"/>
  <c r="H38" i="2"/>
  <c r="G38" i="2"/>
  <c r="M38" i="2" s="1"/>
  <c r="J31" i="2"/>
  <c r="G31" i="2"/>
  <c r="G28" i="2" l="1"/>
  <c r="I28" i="2" s="1"/>
  <c r="L31" i="2"/>
  <c r="M31" i="2"/>
  <c r="O31" i="2" s="1"/>
  <c r="J28" i="2"/>
  <c r="O69" i="2"/>
  <c r="I31" i="2"/>
  <c r="N38" i="2"/>
  <c r="M86" i="2"/>
  <c r="O72" i="2"/>
  <c r="M89" i="2"/>
  <c r="O89" i="2" s="1"/>
  <c r="M68" i="2"/>
  <c r="K68" i="2"/>
  <c r="M28" i="2" l="1"/>
  <c r="L28" i="2"/>
  <c r="O28" i="2" s="1"/>
  <c r="O68" i="2"/>
  <c r="M84" i="2"/>
  <c r="M83" i="2"/>
  <c r="N39" i="2"/>
  <c r="L39" i="2"/>
  <c r="I39" i="2"/>
  <c r="L38" i="2"/>
  <c r="L30" i="2"/>
  <c r="L29" i="2"/>
  <c r="M47" i="2" s="1"/>
  <c r="K21" i="2"/>
  <c r="M60" i="2" l="1"/>
  <c r="O38" i="2"/>
  <c r="O29" i="2"/>
  <c r="O30" i="2"/>
  <c r="E21" i="2"/>
  <c r="K83" i="2"/>
  <c r="K85" i="2"/>
  <c r="M39" i="2"/>
  <c r="O39" i="2" s="1"/>
  <c r="I29" i="2"/>
  <c r="K47" i="2" s="1"/>
  <c r="O47" i="2" s="1"/>
  <c r="I30" i="2"/>
  <c r="I38" i="2"/>
  <c r="M76" i="1"/>
  <c r="O76" i="1" s="1"/>
  <c r="M87" i="1"/>
  <c r="M86" i="1"/>
  <c r="K76" i="1"/>
  <c r="K88" i="1" s="1"/>
  <c r="K75" i="1"/>
  <c r="K87" i="1" l="1"/>
  <c r="O75" i="1"/>
  <c r="K60" i="2"/>
  <c r="O60" i="2" s="1"/>
  <c r="M91" i="1"/>
  <c r="O91" i="1" s="1"/>
  <c r="K73" i="1"/>
  <c r="K86" i="1"/>
  <c r="M88" i="1"/>
  <c r="M73" i="1"/>
  <c r="J38" i="1"/>
  <c r="M38" i="1" s="1"/>
  <c r="G38" i="1"/>
  <c r="O38" i="1"/>
  <c r="L37" i="1"/>
  <c r="I38" i="1"/>
  <c r="G37" i="1"/>
  <c r="J29" i="1"/>
  <c r="H29" i="1"/>
  <c r="G29" i="1"/>
  <c r="G28" i="1" s="1"/>
  <c r="L30" i="1"/>
  <c r="O30" i="1" s="1"/>
  <c r="I30" i="1"/>
  <c r="N29" i="1" l="1"/>
  <c r="H28" i="1"/>
  <c r="N28" i="1" s="1"/>
  <c r="M37" i="1"/>
  <c r="O37" i="1" s="1"/>
  <c r="M29" i="1"/>
  <c r="J28" i="1"/>
  <c r="M28" i="1" s="1"/>
  <c r="O28" i="1" s="1"/>
  <c r="L38" i="1"/>
  <c r="O73" i="1"/>
  <c r="I37" i="1"/>
  <c r="L29" i="1"/>
  <c r="M46" i="1" s="1"/>
  <c r="I29" i="1"/>
  <c r="M60" i="1" l="1"/>
  <c r="O46" i="1"/>
  <c r="K46" i="1"/>
  <c r="K60" i="1" s="1"/>
  <c r="I28" i="1"/>
  <c r="L28" i="1"/>
  <c r="O29" i="1"/>
  <c r="G21" i="1"/>
  <c r="C21" i="1"/>
  <c r="O21" i="1" s="1"/>
  <c r="A21" i="1"/>
  <c r="K21" i="1" l="1"/>
  <c r="M21" i="1"/>
  <c r="O60" i="1"/>
  <c r="P21" i="1"/>
  <c r="E21" i="1"/>
</calcChain>
</file>

<file path=xl/sharedStrings.xml><?xml version="1.0" encoding="utf-8"?>
<sst xmlns="http://schemas.openxmlformats.org/spreadsheetml/2006/main" count="2662" uniqueCount="383">
  <si>
    <t>ЗАТВЕРДЖЕНО</t>
  </si>
  <si>
    <t>Наказ Міністерства фінансів України</t>
  </si>
  <si>
    <t>26.08.2014 №836</t>
  </si>
  <si>
    <t>ЗВІТ</t>
  </si>
  <si>
    <t>про виконання паспорта бюджетної програми місцевого бюджету станом</t>
  </si>
  <si>
    <t>на 2017 рік</t>
  </si>
  <si>
    <t>1.</t>
  </si>
  <si>
    <t>(КПКВК МБ)</t>
  </si>
  <si>
    <t>(найменування головного розпорядника)</t>
  </si>
  <si>
    <t>2.</t>
  </si>
  <si>
    <t>(найменування відповідного виконавця)</t>
  </si>
  <si>
    <t>3.</t>
  </si>
  <si>
    <r>
      <t>(КФКВК)</t>
    </r>
    <r>
      <rPr>
        <sz val="7"/>
        <color theme="1"/>
        <rFont val="Calibri"/>
        <family val="2"/>
        <charset val="204"/>
      </rPr>
      <t>¹</t>
    </r>
  </si>
  <si>
    <t>(найменування бюджетної приграми)</t>
  </si>
  <si>
    <t>4.</t>
  </si>
  <si>
    <t>Видатки та надання кредитів за бюджетною програмою за звітній період</t>
  </si>
  <si>
    <t>(тис. грн.)</t>
  </si>
  <si>
    <t>Затверджено паспортом бюджетної програми</t>
  </si>
  <si>
    <t>Касові видатки (надані кредити)</t>
  </si>
  <si>
    <t>загальний фонд</t>
  </si>
  <si>
    <t>спеціальний фонд</t>
  </si>
  <si>
    <t>разом</t>
  </si>
  <si>
    <t>Відхилення</t>
  </si>
  <si>
    <t>5.</t>
  </si>
  <si>
    <t>Обсяги фівнансування бюджетної приграми за звітній період у розрізі підпрограм та завдань</t>
  </si>
  <si>
    <t>№ з/п</t>
  </si>
  <si>
    <t>КПКВК</t>
  </si>
  <si>
    <t>КФКВК</t>
  </si>
  <si>
    <t>Затверджено паспортом бюджетної програми на звітній період</t>
  </si>
  <si>
    <t>Касові видатки (надані кредити) за звітній період</t>
  </si>
  <si>
    <t>Пояснення щодо причин відхилення</t>
  </si>
  <si>
    <t>6.</t>
  </si>
  <si>
    <t xml:space="preserve">Видатки на реалізацію регіональних цільових програм, які виконуються в межах бюджетної програми, за звітній період </t>
  </si>
  <si>
    <t>Назва регіональної цільової програми та підпрограми</t>
  </si>
  <si>
    <t>7.</t>
  </si>
  <si>
    <t>Результативні показники бюджетної програми та аналіз їх виконання за звітній період</t>
  </si>
  <si>
    <t>Показники</t>
  </si>
  <si>
    <t>Одиниця виміру</t>
  </si>
  <si>
    <t>Джерело інформації</t>
  </si>
  <si>
    <t>Виконано за звітній період (касові видатки/надані кредити)</t>
  </si>
  <si>
    <t>8.</t>
  </si>
  <si>
    <t>Код</t>
  </si>
  <si>
    <t>Найменування джерел надходження</t>
  </si>
  <si>
    <t>Касові видатки станом на 01 січня звітнього періоду</t>
  </si>
  <si>
    <t>План видатків звітного періоду</t>
  </si>
  <si>
    <t>Касові видатки за звітній період</t>
  </si>
  <si>
    <t>Прогноз видатків до кінця реалізації інвестиційного проекту</t>
  </si>
  <si>
    <t>Начальник управління освіти і науки</t>
  </si>
  <si>
    <t>Т.Кріпак</t>
  </si>
  <si>
    <t xml:space="preserve">Головний спеціаліст, бухгалтер управління освіти і науки </t>
  </si>
  <si>
    <t>О.Косінова</t>
  </si>
  <si>
    <t>Управління освіти і науки виконкому Криворізької міської ради</t>
  </si>
  <si>
    <t>0910</t>
  </si>
  <si>
    <t>Дошкільна освіта</t>
  </si>
  <si>
    <t>Програма перспективного розвитку освіти м. Кривого Рогу на 2016-2018 роки</t>
  </si>
  <si>
    <t>Програма розвитку системи цивільного захисту в м. Кривому Розі на 2016 - 2020 роки</t>
  </si>
  <si>
    <t>Показники затрат</t>
  </si>
  <si>
    <t xml:space="preserve">обсяг видатків </t>
  </si>
  <si>
    <t>тис. грн.</t>
  </si>
  <si>
    <t>придбання побутової техніки та іншого обладнання довгострокового користування</t>
  </si>
  <si>
    <t>придбання обладнання для впровадження заходів з енергоефективності</t>
  </si>
  <si>
    <t xml:space="preserve">проведення капітальних ремонтів </t>
  </si>
  <si>
    <t>Розрахунки до кошторису на 2017 рік</t>
  </si>
  <si>
    <t>кількість придбаної побутової техніки та іншого обладнання довгострокового користування</t>
  </si>
  <si>
    <t>Показники продукту</t>
  </si>
  <si>
    <t xml:space="preserve">кількість придбаного обладнання для впровадження заходів з енергоефективності </t>
  </si>
  <si>
    <t>кількість виконаних робіт з капітального ремонту</t>
  </si>
  <si>
    <t>од.</t>
  </si>
  <si>
    <t>Показники ефективності</t>
  </si>
  <si>
    <t>середні витрати на придбання одиниці побутової техніки та іншого обладнання довгострокового користування</t>
  </si>
  <si>
    <t>середні витрати на одиницю придбаного обладнання для впровадження заходів з енергоефективності</t>
  </si>
  <si>
    <t>середні витрати на проведення одного капітального ремонту</t>
  </si>
  <si>
    <t>Розрахунок</t>
  </si>
  <si>
    <t>-</t>
  </si>
  <si>
    <t>Показники якості</t>
  </si>
  <si>
    <t>відсоток оновлення обладнання та предметів довгострокового користування до запланованого обсягу видатків</t>
  </si>
  <si>
    <t xml:space="preserve">відсоток обсягу коштів направлених на проведення капітальних ремонтів до запланованого </t>
  </si>
  <si>
    <t>%</t>
  </si>
  <si>
    <t>0921</t>
  </si>
  <si>
    <t>Надання загальнолї середньої освіти загальноосвітніми навчальними закладами (в т.ч. школою - дитячим садком, інтернатом при школі), спеціалізованими школами, ліцеями, гімназіями, колегіумами</t>
  </si>
  <si>
    <t xml:space="preserve">придбання комп'ютерної техніки для комп'ютерних класів </t>
  </si>
  <si>
    <t>капітальні ремонти та виготовлення проектно-кошторисної документації</t>
  </si>
  <si>
    <t>Завдання 1. Забезпечення створення належних умов для надання на належному рівні дошкільної освіти та виховання дітей</t>
  </si>
  <si>
    <t>обсяг видатків</t>
  </si>
  <si>
    <t>кількість дошкільних навчальних закладів</t>
  </si>
  <si>
    <t>кількість груп</t>
  </si>
  <si>
    <t>середньорічна кількіть ставок педагогічного персоналу та віднесених до них</t>
  </si>
  <si>
    <t>середньорічна кількіть штатних одиниць інших працівників</t>
  </si>
  <si>
    <t>всього-середньорічна кількіть ставок (штатних одиниць)</t>
  </si>
  <si>
    <t>Зведення планів по мережі, штатах і контингентах установ, що фінансуються з місцевих бюджетів областей та міста Києва на 2017 рік</t>
  </si>
  <si>
    <t>кількість дітей від 0 - 6 років</t>
  </si>
  <si>
    <t>середньорічна кількість дітей, що відвідують дошкільні заклади</t>
  </si>
  <si>
    <t>осіб</t>
  </si>
  <si>
    <t>Статистичні данні станом на 01.01.2017 року</t>
  </si>
  <si>
    <t>витрати на перебування 1 дитини в дошкільному закладі</t>
  </si>
  <si>
    <t>діто-дні відвідування</t>
  </si>
  <si>
    <t>грн.</t>
  </si>
  <si>
    <t>діто/дні</t>
  </si>
  <si>
    <t>рівень охоплення дітей дошкільною освітою</t>
  </si>
  <si>
    <t>кількість днів відвідування</t>
  </si>
  <si>
    <t>дні</t>
  </si>
  <si>
    <t>Завдання 2. Покращення матеріально-технічної бази дошкільних навчальних закладів</t>
  </si>
  <si>
    <t>Завдання 1. Забезпечити надання відповідних послуг денними загальноосвітніми навчальними закладами</t>
  </si>
  <si>
    <t>кількість загальноосвітніх навчальних закладів</t>
  </si>
  <si>
    <t>кількість класів</t>
  </si>
  <si>
    <t>середньорічна кількіть штатних одиниць інших працівникі</t>
  </si>
  <si>
    <t>середньорічна кількість учнів</t>
  </si>
  <si>
    <t>витрати на одного учня (дитину)</t>
  </si>
  <si>
    <t>Завдання 2. Покращення матеріально-технічної бази загальноосвітніх навчальних закладів</t>
  </si>
  <si>
    <t>середні витрати на придбання одного комп'ютерного класу</t>
  </si>
  <si>
    <t>середні витрати на проведення капітальних ремонтів та виготовлення проектно-кошторисної документації</t>
  </si>
  <si>
    <t>Завдання 3. Забезпечення оздоровлення дітей пільгових катег</t>
  </si>
  <si>
    <t>обсяг видатків на перевезення дітей пільгових категорій до оздоровчих таб</t>
  </si>
  <si>
    <t>середньорічна кількість дітей, які будуть перевезені до оздоровчих таборів</t>
  </si>
  <si>
    <t>Звітність установ</t>
  </si>
  <si>
    <t>витрати на перевезення 1 дитини до оздоровчого табору</t>
  </si>
  <si>
    <t>відсоток дітей, які будуть перевезені до оздоровчих таборів</t>
  </si>
  <si>
    <t>Надання загальної середньої освіти вечірніми (змінними) школами</t>
  </si>
  <si>
    <t>Завдання 1. Забезпечити  надання загальної середньої освіти працюючій молоді</t>
  </si>
  <si>
    <t>кількість вечірніх шкіл</t>
  </si>
  <si>
    <t xml:space="preserve">витрати на одного учня </t>
  </si>
  <si>
    <t>0922</t>
  </si>
  <si>
    <t>Надання загальної середньої освіти загальноосвітніми школами-інтернатами, загальноосвітніми санаторними школами-інтернатами</t>
  </si>
  <si>
    <t>Завдання 1. Забезпечити надання належної освіти та відповідних умов перебування учнів у загальноосвітніх, санаторних школах-інтернатах</t>
  </si>
  <si>
    <t>Завдання 2. Покращення матеріально-технічної бази загальноосвітніх шкіл-інтернатів, загальноосвітніх санаторних шкіл-інтернатів</t>
  </si>
  <si>
    <t>кількість закладів</t>
  </si>
  <si>
    <t>витрати на одного учня</t>
  </si>
  <si>
    <t>діто-дні перебування вихованців</t>
  </si>
  <si>
    <t>обсяг видатків на придбання обладнання довгострокового користування</t>
  </si>
  <si>
    <t>кількість придбаного обладнання</t>
  </si>
  <si>
    <t>кількість проведених капітальних ремонтів та виготовлених проектно-кошторисних документів</t>
  </si>
  <si>
    <t>середні витрати на придбання одиниці обладнання довгострокового користування</t>
  </si>
  <si>
    <t>Надання загальної середньої освіти спецільними загальноосвітніми школами та інтернатами, школами та іншими навчальними закладами для дітей, які потребують корекції фізичного ( або) розумового розвитку</t>
  </si>
  <si>
    <t>Завдання 1. 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</si>
  <si>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середньорічна кількість дітей, вихованців</t>
  </si>
  <si>
    <t>0960</t>
  </si>
  <si>
    <t>Надання позашкільної освіти позашкільними закладами освіти, заходи із позашкільної роботи з дітьми</t>
  </si>
  <si>
    <t>Завдання 1. Забезпечити залучення та надання належних умов виховання дітей в умовах позашкільної освіти</t>
  </si>
  <si>
    <t>Завдання 3. Придбання обладнання та предметів довгострокового користування</t>
  </si>
  <si>
    <t>середньорічна кількість дітей, які отримують позашкільну освіту</t>
  </si>
  <si>
    <t>витрати на 1 дитину, яка отримує позашкільну освіту</t>
  </si>
  <si>
    <t>охоплення дітей позашкільною освітою до загальної кількості дітей шкільного віку</t>
  </si>
  <si>
    <t>Завдання 2. Забезпечення оздоровлення дітей пільгових категорій</t>
  </si>
  <si>
    <t>середньорічна кількість ставок педагогічного персоналу та віднесених до них</t>
  </si>
  <si>
    <t xml:space="preserve">середньорічна кількість дітей, які будуть оздоровилені </t>
  </si>
  <si>
    <t>витрати на 1 дитину, яка оздоровилась</t>
  </si>
  <si>
    <t>відсоток дітей, які будуть оздоровлені</t>
  </si>
  <si>
    <t xml:space="preserve">кількість придбаного обладнання довгострокового користування </t>
  </si>
  <si>
    <t>0990</t>
  </si>
  <si>
    <t>Методичне забезпечення діяльності навчальних закладів та інші заходи в галузі освіти</t>
  </si>
  <si>
    <t>Завдання 1. Забезпечити належну методичну роботу  в установах освіти</t>
  </si>
  <si>
    <t>Кошторис на 2017 рік</t>
  </si>
  <si>
    <t xml:space="preserve">кількість заходів </t>
  </si>
  <si>
    <t>середня кількість дітей, які беруть участь у проведених заходах</t>
  </si>
  <si>
    <t>дітей</t>
  </si>
  <si>
    <t xml:space="preserve">кількість дітей, які присутні на одному заході </t>
  </si>
  <si>
    <t>відсоток дітей охоплених проведеними заходами</t>
  </si>
  <si>
    <t>придбання комп'ютерної техніки (комп'ютерні класи)</t>
  </si>
  <si>
    <t>проведення капітальних ремонтів та виготовлення проектно-кошторисної документації</t>
  </si>
  <si>
    <t xml:space="preserve">проведення поточних послуг та придбання предметів, матеріалів, обладнання та інвентарю </t>
  </si>
  <si>
    <t>кількість придбаних комп'ютерних класів</t>
  </si>
  <si>
    <t>кількість проведених капітальних ремонтів</t>
  </si>
  <si>
    <t>заклади</t>
  </si>
  <si>
    <t>середні витрати на оснащення комп'ютерного класу комп'ютерною технікою</t>
  </si>
  <si>
    <t>Централізоване ведення бухгалтерського обліку</t>
  </si>
  <si>
    <t>Завдання 1. 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</si>
  <si>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середньорічна кількіть штатних одиниць спеціалістів</t>
  </si>
  <si>
    <t>середньорічна кількіть штатних одиниць робітників</t>
  </si>
  <si>
    <t>кількість закладів що обслуговується централізованими бухгалтеріями</t>
  </si>
  <si>
    <t>середня кількість закладів, які обслуговує одна централізована бухгалтерія</t>
  </si>
  <si>
    <t>кількість закладів, які обслуговує одна штатна один</t>
  </si>
  <si>
    <t>заклад</t>
  </si>
  <si>
    <t>Здійснення централізованого господарського обслуговування</t>
  </si>
  <si>
    <t>Завдання 1. Забезпечити надання якісних послуг з централізованого господарського обслуговування</t>
  </si>
  <si>
    <t>кількість закладів, які обслуговуються групами централізованого господарського обслуговування</t>
  </si>
  <si>
    <t>Річна звітність на 01.01.2017 рік</t>
  </si>
  <si>
    <t>кількість закладів, які обслуговує одна штатна одиниця</t>
  </si>
  <si>
    <t>Утримання інших закладів освіти</t>
  </si>
  <si>
    <t>Завдання 1. Забезпечення проведення первинної професійної орієнтації учнів у навчально-виробничих комбінатах</t>
  </si>
  <si>
    <t>середньорічна кількість дітей, які отримують первинну професійну орієнтацію у навчально-виробничих комбінатах</t>
  </si>
  <si>
    <t>витрати на одну дитину, яка отримує освіту в інших закладах освіти міста</t>
  </si>
  <si>
    <t>Надання допомоги дітям-сиротам і дітям, позбавленим батьківського піклування, яким виповнюється 18 років</t>
  </si>
  <si>
    <t>Завдання 1. Забезпечити надання допомоги  дітям-сиротам та дітям, позбавленим батьківського піклування, яким виповнюється 18 років</t>
  </si>
  <si>
    <t>кількість одержувачів допомоги</t>
  </si>
  <si>
    <t>середній розмір допомоги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</si>
  <si>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</si>
  <si>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постраджали внаслідок Чорнобильскої катастрофи)</t>
  </si>
  <si>
    <t>кількість дітей, яким надано послуги з оздоровлення, осіб</t>
  </si>
  <si>
    <t>середні витрати на оздоровлення однієї дитини</t>
  </si>
  <si>
    <t xml:space="preserve">відсоток дітей,охоплених заходами з оздоровлення, порівняно з минулим роком </t>
  </si>
  <si>
    <t>0512</t>
  </si>
  <si>
    <t>Утилізація відходів</t>
  </si>
  <si>
    <t>Завдання 1. Забезпечення безпечного перебування дітей (учнів) у закладах освіти міста</t>
  </si>
  <si>
    <t>кількість придбаних контейнерів</t>
  </si>
  <si>
    <t xml:space="preserve">середні витрати на придбання одиниці контейнеру </t>
  </si>
  <si>
    <t>відсоток забезпечення контейнерами закладів освіти міста</t>
  </si>
  <si>
    <t>0490</t>
  </si>
  <si>
    <t>Реалізація заходів щодо інвестиційного розвитку території</t>
  </si>
  <si>
    <t>Завдання 1. Забезпечення будівництва об'єктів</t>
  </si>
  <si>
    <t>Завдання 2. Проектування реконструкції об'єктів</t>
  </si>
  <si>
    <t>обсяг будівництва</t>
  </si>
  <si>
    <t>кв. м.</t>
  </si>
  <si>
    <t>Проектно-кошторисна документація</t>
  </si>
  <si>
    <t xml:space="preserve">кількість об'єктів, які планується побудувати </t>
  </si>
  <si>
    <t>середні витрати на будівництво одного об'єкту</t>
  </si>
  <si>
    <t>середні витрати на 1 км. (кв. м.) будівництва об'єкта</t>
  </si>
  <si>
    <t>рівень готовності об'єктів будівництва</t>
  </si>
  <si>
    <t xml:space="preserve">кількість проектів для реконструкції об'єктів </t>
  </si>
  <si>
    <t>середні витрати на розробку одного проекту для реконструкції об'єктів</t>
  </si>
  <si>
    <t>рівень готовності проектної документації реконструкції об'єктів</t>
  </si>
  <si>
    <t>0810</t>
  </si>
  <si>
    <t>Розвиток дитячо-юнацького та резервного спорту</t>
  </si>
  <si>
    <t>Підпрограма 1. Утримання та навчально-тренувальна робота комунальних дитячо-юнацьких спортивних шкіл</t>
  </si>
  <si>
    <t>Завдання 1. Підготовка спортивного резерву та підвищення рівня фізичної підготовленості дітей дитячо-юнацькими спортивними школами</t>
  </si>
  <si>
    <t>кількість дитячо-юнацьких спортивних шкіл</t>
  </si>
  <si>
    <t>кількість штатних працівників</t>
  </si>
  <si>
    <t>у тому числі тренерів</t>
  </si>
  <si>
    <t>обсяг витрат на забезпечення участі учнів ДЮСШ у спортивних змаганнях</t>
  </si>
  <si>
    <t>Додаток 1Ф до зведеного бюджету на 2017 рік</t>
  </si>
  <si>
    <t>Кошторис установ на 2017 рік</t>
  </si>
  <si>
    <t>кількість учнів у ДЮСШ</t>
  </si>
  <si>
    <t>середня кількість учнів, що візьмуть участь у регіональних спортивних змаганнях</t>
  </si>
  <si>
    <t>ф. 5 ФК "Звіт ДЮСШ"</t>
  </si>
  <si>
    <t>Середні витрати на утримання ДЮСШ, з розрахунку на одного працівника</t>
  </si>
  <si>
    <t>середньомісячна заробітна плата працівника ДЮСШ</t>
  </si>
  <si>
    <t>середні витрати на навчально-тренувальну роботу у ДЮСШ у розрахунку на одного учня</t>
  </si>
  <si>
    <t>середні витрати на забезпечення участі одного учні ДЮСШ у регіональних змаганнях</t>
  </si>
  <si>
    <t>середня кількість учнів ДЮСШ, які здобули призові місця в регіональних спортивних змаганнях</t>
  </si>
  <si>
    <t>середня кількість підготовлених у ДЮСШ майстрів спорту/ кандидатів у майстри спорту України</t>
  </si>
  <si>
    <t>Завдання 2. Покращення матеріально-технічної бази дитячо-юнацьких спортивних шкіл</t>
  </si>
  <si>
    <t>обсяг видатків на проведення капітальних ремонтів у ДЮСШ</t>
  </si>
  <si>
    <t>кількість проведених капітальних ремонтів у ДЮСШ</t>
  </si>
  <si>
    <t>середні витрати на проведення капітальних ремонтів у ДЮСШ</t>
  </si>
  <si>
    <t>Пояснення щодо причин розбіжностей між затвердженими та досягнутими результативними показниками</t>
  </si>
  <si>
    <t>*збільшення середньорічної кількості дітей, що відвідують дошкільні навчальні заклади збільшилась у зв'язку з відкриттям 4 додаткових груп у діючих дошкільних навчальних закладах</t>
  </si>
  <si>
    <t>Зведення планів по мережі, штатах і контингентах установ, що фінансуються з місцевих бюджетів областей та міста Києва на 2017 рік; Рішення криворізької міської ради від 09.10.2017 №2051</t>
  </si>
  <si>
    <t>Зведення планів по мережі, штатах і контингентах установ, що фінансуються з місцевих бюджетів областей та міста Києва на 2017 рік; Мережа дошкільних навчальних закладів</t>
  </si>
  <si>
    <t xml:space="preserve">Розрахунки до кошторису на 2017 рік; Інформація щодо придбання обладнання та предметів довгострокового користування, додаток 1 </t>
  </si>
  <si>
    <t xml:space="preserve">Розрахунки до кошторису на 2017 рік; Інформація щодо придбання обладнання та предметів довгострокового користування, додаток 2 </t>
  </si>
  <si>
    <t xml:space="preserve">         </t>
  </si>
  <si>
    <t>Аналіз стану виконання результативних показників</t>
  </si>
  <si>
    <t xml:space="preserve">*зменшення кількості виконаних робіт з капітальних ремонтів виникла у зв'язку з погіршенням погодних умов, що не дало змогу закінчити заплановані роботи                                                                                                                                                             *економія на придбання 10 обладнаннь для впровадження заходів з енергоефективності склалась в наслідок того, що невідбулась процидура закупівель у зв'язку з відсутністю пропозицій, економія була перерозподілена на закупівлю обладнання довгострокового користування в заклади освіти міста                                  </t>
  </si>
  <si>
    <t>Зведення планів по мережі, штатах і контингентах установ, що фінансуються з місцевих бюджетів областей та міста Києва на 2017 рік; Мережа класів та контингенту на 2017 - 2018 навчальний рік</t>
  </si>
  <si>
    <t>*зменшення відсотку обсягу коштів направлених на проведення капітаальних ремонтів до запланованого відбувся у зв'язку зпогіршенням погодних умов, що не дало змогу закінчити заплановані роботи</t>
  </si>
  <si>
    <t xml:space="preserve">*зменшення відсотку обсягу коштів направлених на проведення капітаальних ремонтів до запланованого відбулось  у зв'язку із зміною у нормативно-правових актах, що призвело до коригування ПКД та повторної експертизи та погіршенням погодних умов </t>
  </si>
  <si>
    <t>Звітність установ; Розрахунок</t>
  </si>
  <si>
    <t>*зменшення середньої кількості штатних одиниць виникла у зв'язку з внутрішнім перерозподілом штатних одиниць</t>
  </si>
  <si>
    <t>У 2017 році  було частково оновлено матеріально-технічну базу закладів освіти міста інтернатного типу. Також була створена кімната психічного розвантаження для дітей з особливими освітніми потребами, що дато змогу інклюзивним дітям простіше засвоювати шкільний матеріал</t>
  </si>
  <si>
    <t>Зведення планів по мережі, штатах і контингентах установ, що фінансуються з місцевих бюджетів областей та міста Києва на 2017 рік; Тарифікація на 2017-2018 роки</t>
  </si>
  <si>
    <t>*збільшення середньої кількості ставок (штатних одиниць) виникло у зв'язку з виробничою необхідністю</t>
  </si>
  <si>
    <t>Зведення планів по мережі, штатах і контингентах установ, що фінансуються з місцевих бюджетів областей та міста Києва на 2017 рік; Інформація про мережу гуртків та контингенту вихованців позашкільних навчальних закладів</t>
  </si>
  <si>
    <t>*зменшення обсягу витрат винк у зв'язку з економним та раціональним використанням бюджетних коштів</t>
  </si>
  <si>
    <t>*зменшення витрат на одну дитину, яку оздоровлено видбулось у зв'яску із економним та раціональним використанням бюджетних коштів</t>
  </si>
  <si>
    <t>*зменшення кількості днів відвідування відбулось у зв'язку з хворобами дітей на протязі року</t>
  </si>
  <si>
    <t xml:space="preserve">*зменшення витрат на перебування однієї дитини у дошкільному навчальному закладі зменшилися у зв'язку з економією бюджетних коштів по заробітній платі та поточним видаткам;                                                                                                                                                                                                                   *зменшення діто-днів відвідування відбулось у зв'язку із зменшенням днів відвідування з причин хвороби дітей </t>
  </si>
  <si>
    <t>Зведення планів по мережі, штатах і контингентах установ, що фінансуються з місцевих бюджетів областей та міста Києва на 2017 рік; Аналіз  харчування за 2017 рік</t>
  </si>
  <si>
    <t>Аналіз харчування; Аналіз харчування за 2017 рік</t>
  </si>
  <si>
    <t>*обсяг видатків по загальному фонду зменшився у зв'язку з економія коштів, яка склалася внаслідок зменшення видатків передбачених на утримання закладів;                                                                                                                                                                                   *збільшення середньої кількості ставок (штатних одиниць) виникло у зв'язку із відкриттям додаткових 48 класів</t>
  </si>
  <si>
    <t>*зменшення витрат на одного учня виникла у зв'язку з економією коштів, яка склалася внаслідок зменшення видатків передбачених на утримання закладу</t>
  </si>
  <si>
    <t xml:space="preserve">Вечірня школа №12  є основою для наступної освіти та самоосвіти, усвідомленого вибору й освоєння професії. У 2017 році задоволено потребу 100 громадян у здобутті базової та повної загальної середньої освіти (громадяни, які працюють, особи з особливими потребами, особи із соціально-незахищених верств населення, обдаровані діти, які мають бажання прискорено закінчити шкільний курс навчання тощо). </t>
  </si>
  <si>
    <r>
      <t xml:space="preserve">по загальному фонду: </t>
    </r>
    <r>
      <rPr>
        <sz val="11"/>
        <color theme="1"/>
        <rFont val="Times New Roman"/>
        <family val="1"/>
        <charset val="204"/>
      </rPr>
      <t xml:space="preserve">економія виникла за рахунок моніторингу цінової політики при покупці обладнання  </t>
    </r>
  </si>
  <si>
    <t>*зменшення середньої кількості ставок (штатних одиниць) виниклу за рахунок вакансій</t>
  </si>
  <si>
    <t>*зменшення середньої кількості учнів відбулась у зв'язку із зменшенням відсотку наповнюваності класів</t>
  </si>
  <si>
    <t>У 2017 році створено належні умови для надання загальної середньої освіти дітям, які потребують корекції фізичного та (або) розумового розвитку, що дало змогу вищезазначеномку контингенту дітей засвоїти шкільний матеріал в повному обсязі. Також на початок нового навчального року у закладі збільшився контингент дітей, які потребують корекції фізичного або розумового розвитку.</t>
  </si>
  <si>
    <r>
      <t xml:space="preserve">по загальному фонду: </t>
    </r>
    <r>
      <rPr>
        <sz val="11"/>
        <color theme="1"/>
        <rFont val="Times New Roman"/>
        <family val="1"/>
        <charset val="204"/>
      </rPr>
      <t>економія коштів склалася внаслідок зменшення видатків передбачених на цілі програми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(економне та раціональне використання бюджетних коштів дитячими таборами); </t>
    </r>
    <r>
      <rPr>
        <b/>
        <sz val="11"/>
        <color theme="1"/>
        <rFont val="Times New Roman"/>
        <family val="1"/>
        <charset val="204"/>
      </rPr>
      <t xml:space="preserve">по спеціальному фонду: </t>
    </r>
    <r>
      <rPr>
        <sz val="11"/>
        <color theme="1"/>
        <rFont val="Times New Roman"/>
        <family val="1"/>
        <charset val="204"/>
      </rPr>
      <t>економія склалася у зв'язку із моніторингом цінової політики при покупці обладнання</t>
    </r>
  </si>
  <si>
    <t>*збільшення середніх витрат на придбання одиниці обладнання довгострокового користування виникло за рахунок благодійних внесків</t>
  </si>
  <si>
    <t>*зменшення середньоїкількост ставок (штатних одиниць) виникло у зв'язку зменшенням кількості працівників централізованих бухгалтерій міста</t>
  </si>
  <si>
    <t xml:space="preserve">*збільшення кількості заккладів, що обслуговуються централізованими бухгалтеріями відбулося за рахунок створення комунального закладу "Дошкільний навчальний заклад (центр розвитку дитини) №243" </t>
  </si>
  <si>
    <t>Зведення планів по мережі, штатах і контингентах установ, що фінансуються з місцевих бюджетів областей та міста Києва на 2017 рік, Розрахунок</t>
  </si>
  <si>
    <t>*зменшення середньоїкількост ставок (штатних одиниць) виникло у зв'язку зменшенням кількості працівників господарчих груп</t>
  </si>
  <si>
    <t xml:space="preserve">*збільшення кількості заккладів, що обслуговуються групами централізованого господарського обслуговування відбулося за рахунок створення комунального закладу "Дошкільний навчальний заклад (центр розвитку дитини) №243" </t>
  </si>
  <si>
    <t>*збільшення середньої кількості ставок (штатних одиниць) винокло у зв'язку із внутрішнів перерозподілом</t>
  </si>
  <si>
    <t>*зменшення середньої кількості дітей, які отримують первинну професійну орієнтацію у навчально-виробничих комбінатах відбулось у зв'язку із зменшенням відсотку наповнюваності класів;                                                                                                                                                                                                                                                                                                          *зменшення витрати на одну дитину відбулося за рахунок економного та раціонального використання бюджетних коштів</t>
  </si>
  <si>
    <t>*зменшення обсягу витрат на виплату допомоги видбуося у зв'язкуі із зменшенням кількості дітей, які повинні були отримати дану виплату, від запланованої</t>
  </si>
  <si>
    <t>Завдання 1. Створення сприятливих умов для якісного відпочинку та оздоровлення дітей та молоді, які потребують особливої соціальної уваги та підтримки</t>
  </si>
  <si>
    <t>*зменшення обсягу видатків виникло у зв'язку із зменшенням кількості придбаних контейнерів;                                                                                                                                                                                                                                                 *зменшення кількості придбаних мусорних контейнерів виникло у зв'язку із фактичною їх портебою;                                                                                                                                                                                                                                                                                                                                                   *зменшення відсотку виконання відбулось у зв'язку із меншою кількістю придбаних контейнерів</t>
  </si>
  <si>
    <t>*зменшення показників виникло у зв'язку із зміною у нормативно-правових актах, що призвело до коригування ПКД та повторної експертизи та погіршенням погодних умов, що не дало змогу закінчити будівельні роботи</t>
  </si>
  <si>
    <t>*невиконаня показників виникло у зв'язку з відсутністю технічної можливості, а саме не виготовлено ПКД на проведення реконструкції до кінця 2017 року</t>
  </si>
  <si>
    <t xml:space="preserve">*збільшення кількості учнів виникло у зв'язку із збільшення мвідсотку учнів, які відвідують секції  в ДЮСШ;                                                                                                                                                                                                                                                                   *збільшення середньої кількості учнів, що візьмуть участь у регіональних спортивних змаганнях вібдулося у зв'язку із фактичним збільшенням учнів, які відвідують секції в ДЮСШ </t>
  </si>
  <si>
    <t>*зменшення видатків на проведення капітальних ремонтів виникло за рахунок економії економія, яка виникла внаслідок виявлення додаткових робіт, що призвело до внесення змін у ПКД та проходження нової експертизи, це призвело до обмеження термінів виконання ремонтних робіт</t>
  </si>
  <si>
    <t>У 2017 році було утримано 10 закладів дитячо-юнацьких спортивних шкіл, де на кінець звітнього року виховувалось 7509 учнів, з яких 200 стали  майстрами спорту або кандидатами у майстри спорту України. Також у ДЮСШ №№1, 5, 10 були проведені капітальні ремонти, але відсоток виконання, на кінець року, склав 46%. Невиконання робіт виникло у зв'язку з виявленням додаткових робіт, що призвело до внесення змін у ПКД та проходження нової експертизи, це призвело до обмеження термінів виконання ремонтних робіт. Закінчення капітальних ремонтів у ДЮСШ планується завершиту у 2018 році. Також було частково оновлено матеріально-технічну базу закладів, що дало змогу учням отримати більш якісну спотривну освіту.</t>
  </si>
  <si>
    <t xml:space="preserve">Зведення планів по мережі, штатах і контингентах установ, що фінансуються з місцевих бюджетів областей та міста Києва на 2017 рік, Звітність установ, Розрахунок </t>
  </si>
  <si>
    <t>У 2017 році було створено комунальний заклад "Дошкільний навчальний заклад (центр розвитку дитини) №243" (на 8 груп, 150 місць)  в якому було виконано капитальний ремонт будівлі та закуплені предмети, матеріали, обладнання та інвентар необхідний для функціонування даного закладу. Також було зтворено 4 додаткові групи в діючих дошкільних навчальних закладах для забезпечення потреби населення у дошкільній освіті.</t>
  </si>
  <si>
    <t>У 2017 році було придбано обладнання для впровадження заходів з енергоефективності  у 4 закладах Інгулецького району. Частково оновлено матеріально-технічну базу дошкільних навчальних закладів міста та здійснено капітальні ремонти по заміні вікон, покрівлі та фасаду будівлі у 5 закладах освіти міста. Капітальні ремонти у закладах було виконано на 71% оскільки змінились нормативно-правові акти, що призвело до коригування ПКД та повторної експертизи, а також у зв'зку з погодними умовами, які не дали змогу закінчити роботи. Заверження робіт планується у 2018 році</t>
  </si>
  <si>
    <t>*збільшення середньорічної кількості учнів виникло у зв'язку із відкриттям додаткових класів;                                                                                                                                                                                                                                                                                                                                               *зменшення кількості днів відвідування та діто-днів відвудування відбулось у зв'язку з карантином та захворюванням дітей впродовж навчального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*зменшення витрат на одного учня виникла у зв'язку з економією, яка склалася внаслідок зменшення видатків на утримання закладів</t>
  </si>
  <si>
    <t>*збільшення витрат на придбання побутової техніки та іншого обладнання довгострокового користування виникла за рахунок благодійних внесків;                                                                                                                                                                                                                          *економія на придбання обладнання для впровадження заходів з енергоефективності склалась в наслідок того, що невідбулась процидура закупівель у зв'язку з відсутністю пропозицій, економія була перерозподілена на закупівлю обладнання довгострокового користування в заклади освіти міста                                                                                                                                                                                                                                                                                                                                                *зменшення витрат на проведення капітальних ремонтів в закладах освіти міста виникла у зв'язку із зміною у нормативно-правових актах, що призвело до коригування ПКД та повторної експертизи та погіршенням погодних умов</t>
  </si>
  <si>
    <t xml:space="preserve">*економія на придбання обладнаннь для впровадження заходів з енергоефективності склалась в наслідок того, що не відбулась процедура закупівель у зв'язку з відсутністю пропозицій, економія була перерозподілена на закупівлю обладнання довгострокового користування в заклади освіти міста                                                                                                                                                                                                                                                                                                                                                                                                                                       *зменшення кількості проведених капітальних ремонтів відбулося  у зв'язку із зміною у нормативно-правових актах, що призвело до коригування ПКД та повторної експертизи та погіршенням погодних умов </t>
  </si>
  <si>
    <t xml:space="preserve">У 2017 році відбулось відкриття 48 додаткових класів, що дало змогу  забезпечити потребу населення в набутті загальносередньої освіти. </t>
  </si>
  <si>
    <t>Частково оновлено сучасними комп'ютерами комп'ютерні класи закладів освіти міста.  Також оновлено матеріально-технічну базу загальноосвітніх навчальних закладів міста та здійснено капітальні ремонти по заміні вікон, покрівлі, фасадів будівель, спортивних залів з утепленням стін фасаду, в 7 загальноосвітніх закладах. Капітальні ремонти у закладах було виконано на 47% оскільки змінились нормативно-правові акти, що призвело до коригування ПКД та повторної експертизи, а також у зв’язку з погодними умовами, які не дали змогу закінчити роботи. Завершення робіт планується у 2018 році. Здійснено підвезення дітей пільгових категорій та обдарованих дітей до оздоровчих таборів ДОТ "Слава", "Сонячний".</t>
  </si>
  <si>
    <t>*збільшення середньої кількості учнів відбулась у зв'язку із збільшенням відсотку наповнюваності класів в наваму навчальному році;                                                                                                                                                                                                                 *зменшення витрат на одного учня виникла у зв'язку з економією коштів, яка склалася внаслідок зменшення видатків передбачених на утримання закладів;                                                                                                                                                                                                            *зменшення діто-днів відвудування склалась в результаті хвороб дітей впродовж навчального року</t>
  </si>
  <si>
    <t xml:space="preserve">У 2017 році 3-ма школами-інтернатами міста №1, 4, 9 забезпечено належне надання загальної середньої освіти 690 учням закладів. Також було створено необхідні  умови перебування дітей пільгових категорій у школах-інтернатах на пролязі всього навчального року. У новому навчальному році збільшився контингент учнів в закладах на 49 чоловік. </t>
  </si>
  <si>
    <t>Зведення планів по мережі, штатах і контингентах установ, що фінансуються з місцевих бюджетів областей та міста Києва на 2017 рік; Звітність установ, Розрахунок</t>
  </si>
  <si>
    <t>*зменшення  діто-днів відвідування виникло у зв'язку із зменшенням контингенту дітей;                                                                                                                                                                                                                                                                               *збільшення витрат на одного учня виникло за рахунок благодійних внесків</t>
  </si>
  <si>
    <t>В 30 закладах позашкільної освіти міста здобували позашкільну освіту в середньому 21407 вихованців за різними напрямами виховної роботи. Презентовано досвід роботи закладів освіти міста на Всеукраїнському семінарі для директорів обласних позашкільних навчальних закладів науково-технічного напряму «Сучасні інновації в роботі позашкільного навчального закладу». Пріоритетним напрямом виховної роботи було національно-патріотичне та громадянське виховання учнівської молоді. У міському наймасштабнішому  лідерському проекті «У серці кожної людини живе любов до України» взяли участь близько 60 тис. представників педагогічної, учнівської, батьківської громадськості, що сприяло розширенню  волонтерського руху.</t>
  </si>
  <si>
    <t>На протязі 2017 року в дитячох оздоровчих таборах "Слава" та "Сонячний" було оздоровлено 3155 дітей пільгових категорій.  Також були створені належні умови для комфортного перебування дітей пільгових категорій в закладах оздоровлення</t>
  </si>
  <si>
    <t>У 2017 році частково оновлено матеріально-технічну базу дитячих оздоровчих таборів, що дато змогу надавати більш якісні послуги з оздоровлення дітей пільгових категорій нашого міста</t>
  </si>
  <si>
    <t xml:space="preserve">На протязі 2017 року централізованими бухгалтеріями нашого міста забезпечено складання і надання кошторисів, звітів, фінансової документації, а також здійснювалось фінансування видатків необхідних для утримання 317 закладі освіти міста де перебуває, навчається та виховується більше 100 тисяч дітей, учнів, вихованців. </t>
  </si>
  <si>
    <t>Додаток 3 до рішення міської ради від 20.12.2017 №2286 "Про внесення змін до рішення міської ради від 21.12.2016 №1161"Про міський бюджет на 2017 рік"; Бюджетна звітність розпорядників бюджетних коштів за 2017 рік</t>
  </si>
  <si>
    <r>
      <t>Підпрограма/завдання бюджетної програми</t>
    </r>
    <r>
      <rPr>
        <b/>
        <i/>
        <sz val="11"/>
        <color theme="1"/>
        <rFont val="Calibri"/>
        <family val="2"/>
        <charset val="204"/>
      </rPr>
      <t>²</t>
    </r>
  </si>
  <si>
    <r>
      <rPr>
        <b/>
        <sz val="11"/>
        <color theme="1"/>
        <rFont val="Times New Roman"/>
        <family val="1"/>
        <charset val="204"/>
      </rPr>
      <t>Завдання 1.</t>
    </r>
    <r>
      <rPr>
        <sz val="11"/>
        <color theme="1"/>
        <rFont val="Times New Roman"/>
        <family val="1"/>
        <charset val="204"/>
      </rPr>
      <t xml:space="preserve"> Забезпечення створення належних умов для надання на належному рівні дошкільної освіти та виховання дітей</t>
    </r>
  </si>
  <si>
    <r>
      <t>по загальному фонду:</t>
    </r>
    <r>
      <rPr>
        <sz val="11"/>
        <color theme="1"/>
        <rFont val="Times New Roman"/>
        <family val="1"/>
        <charset val="204"/>
      </rPr>
      <t xml:space="preserve"> економія коштів склалася внаслідок зменшення видатків передбачених на утримання закладів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по спеціальному фонду: </t>
    </r>
    <r>
      <rPr>
        <sz val="11"/>
        <color theme="1"/>
        <rFont val="Times New Roman"/>
        <family val="1"/>
        <charset val="204"/>
      </rPr>
      <t>понадпланові надходження виникли за рахунок благодійних внесків</t>
    </r>
  </si>
  <si>
    <r>
      <rPr>
        <b/>
        <sz val="11"/>
        <color theme="1"/>
        <rFont val="Times New Roman"/>
        <family val="1"/>
        <charset val="204"/>
      </rPr>
      <t>Завдання 2.</t>
    </r>
    <r>
      <rPr>
        <sz val="11"/>
        <color theme="1"/>
        <rFont val="Times New Roman"/>
        <family val="1"/>
        <charset val="204"/>
      </rPr>
      <t xml:space="preserve"> Покращення матеріально-технічної бази дошкільних навчальних закладів</t>
    </r>
  </si>
  <si>
    <r>
      <rPr>
        <b/>
        <sz val="11"/>
        <color theme="1"/>
        <rFont val="Times New Roman"/>
        <family val="1"/>
        <charset val="204"/>
      </rPr>
      <t xml:space="preserve">по спеціальному фонду: </t>
    </r>
    <r>
      <rPr>
        <sz val="11"/>
        <color theme="1"/>
        <rFont val="Times New Roman"/>
        <family val="1"/>
        <charset val="204"/>
      </rPr>
      <t xml:space="preserve">економія виникла за рахунок моніторингу цінової політики при покупці обладнання </t>
    </r>
  </si>
  <si>
    <r>
      <t xml:space="preserve">по загальному фонду: </t>
    </r>
    <r>
      <rPr>
        <sz val="11"/>
        <color theme="1"/>
        <rFont val="Times New Roman"/>
        <family val="1"/>
        <charset val="204"/>
      </rPr>
      <t>економія коштів склалася внаслідок зменшення видатків передбачених на цілі програми</t>
    </r>
    <r>
      <rPr>
        <b/>
        <sz val="11"/>
        <color theme="1"/>
        <rFont val="Times New Roman"/>
        <family val="1"/>
        <charset val="204"/>
      </rPr>
      <t xml:space="preserve"> (</t>
    </r>
    <r>
      <rPr>
        <sz val="11"/>
        <color theme="1"/>
        <rFont val="Times New Roman"/>
        <family val="1"/>
        <charset val="204"/>
      </rPr>
      <t xml:space="preserve">уточнення списків педпрацівників курси підвищення кваліфікації та зменшення днів відвідування дітьми закладів; </t>
    </r>
    <r>
      <rPr>
        <b/>
        <sz val="11"/>
        <color theme="1"/>
        <rFont val="Times New Roman"/>
        <family val="1"/>
        <charset val="204"/>
      </rPr>
      <t xml:space="preserve">по спеціальному фонду: </t>
    </r>
    <r>
      <rPr>
        <sz val="11"/>
        <color theme="1"/>
        <rFont val="Times New Roman"/>
        <family val="1"/>
        <charset val="204"/>
      </rPr>
      <t>економія виникла у зв'язку із зміною у нормативно-правових актах, що призвело до коригування ПКД та повторної експертизи</t>
    </r>
  </si>
  <si>
    <r>
      <t xml:space="preserve">по загальному фонду: </t>
    </r>
    <r>
      <rPr>
        <sz val="11"/>
        <color theme="1"/>
        <rFont val="Times New Roman"/>
        <family val="1"/>
        <charset val="204"/>
      </rPr>
      <t>економія склалася у зв'язку із моніторингом цінової політики при покупці обладнання</t>
    </r>
  </si>
  <si>
    <r>
      <t>Джерела фінансування інвестиційних проектів у розрізі підпрограм</t>
    </r>
    <r>
      <rPr>
        <sz val="11"/>
        <color theme="1"/>
        <rFont val="Calibri"/>
        <family val="2"/>
        <charset val="204"/>
      </rPr>
      <t>³</t>
    </r>
  </si>
  <si>
    <r>
      <rPr>
        <sz val="11"/>
        <color theme="0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¹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</si>
  <si>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rPr>
        <sz val="11"/>
        <color theme="0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² Зазаначаються усі підпрограми та завдання, затверджені паспортом бюджетної програми.</t>
    </r>
  </si>
  <si>
    <r>
      <rPr>
        <sz val="11"/>
        <color theme="0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³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</si>
  <si>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*обсяг видатків по загальному фонду зменшився у зв'язку з економією, яка склалася по заробітній платі та поточним видаткам;                                                                                                                                                                                                                                              *кількість дошкільних навчальних закладів збільшилась у зв'язку із створенням комунального закладу "Дошкільний навчальний заклад (центр розвитку дитини) №243";                                                                                                                                                                                                                          *збільшення середньорічної кількості ставок (штатних одиниць) відбулось в зв'язку з відкриттям 4 додаткових груп в діючих дошкільних навчальних закладах</t>
  </si>
  <si>
    <t>Розрахунки до кошторису на 2017 рік; Бюджетна звітність розпорядників бюджетних коштів за 2017 рік</t>
  </si>
  <si>
    <t>*збільшення витрат на придбання побутової техніки та іншого обладнання довгострокового користування виникла за рахунок благодійних внесків;                                                                                                                                                                                                                      *економія на придбання обладнання для впровадження заходів з енергоефективності склалась в наслідок того, що невідбулась процидура закупівель у зв'язку з відсутністю пропозицій, економія була перерозподілена на закупівлю обладнання довгострокового користування в заклади освіти міста                                                                                                                                                                                                                                                                                                                                                                                                                                                                                          *зменшення витрат на проведення капітальних ремонтів в закладах освіти міста виникла у зв'язку із зміною у нормативно-правових актах, що призвело до коригування ПКД та повторної експертизи та погіршенням погодних умов</t>
  </si>
  <si>
    <r>
      <t xml:space="preserve">Завдання 1. </t>
    </r>
    <r>
      <rPr>
        <sz val="11"/>
        <color theme="1"/>
        <rFont val="Times New Roman"/>
        <family val="1"/>
        <charset val="204"/>
      </rPr>
      <t>Забезпечити надання відповідних послуг денними загальноосвітніми навчальними закладами</t>
    </r>
  </si>
  <si>
    <r>
      <t>по загальному фонду:</t>
    </r>
    <r>
      <rPr>
        <sz val="11"/>
        <color theme="1"/>
        <rFont val="Times New Roman"/>
        <family val="1"/>
        <charset val="204"/>
      </rPr>
      <t xml:space="preserve"> економія коштів склалася внаслідок зменшення видатків передбачених на утримання закладів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по спеціальному фонду: </t>
    </r>
    <r>
      <rPr>
        <sz val="11"/>
        <color theme="1"/>
        <rFont val="Times New Roman"/>
        <family val="1"/>
        <charset val="204"/>
      </rPr>
      <t>понадпланові надходження виникли за рахунок благодійних внесків</t>
    </r>
  </si>
  <si>
    <r>
      <t xml:space="preserve">Завдання 2. </t>
    </r>
    <r>
      <rPr>
        <sz val="11"/>
        <color theme="1"/>
        <rFont val="Times New Roman"/>
        <family val="1"/>
        <charset val="204"/>
      </rPr>
      <t>Покращення матеріально-технічної бази загальноосвітніх навчальних закладів</t>
    </r>
  </si>
  <si>
    <r>
      <rPr>
        <b/>
        <sz val="11"/>
        <color theme="1"/>
        <rFont val="Times New Roman"/>
        <family val="1"/>
        <charset val="204"/>
      </rPr>
      <t xml:space="preserve">по спеціальному фонду: </t>
    </r>
    <r>
      <rPr>
        <sz val="11"/>
        <color theme="1"/>
        <rFont val="Times New Roman"/>
        <family val="1"/>
        <charset val="204"/>
      </rPr>
      <t xml:space="preserve">економія виникла у зв'язку із зміною у нормативно-правових актах, що призвело до коригування ПКД та повторної експертизи </t>
    </r>
  </si>
  <si>
    <r>
      <t xml:space="preserve">Завдання 3. </t>
    </r>
    <r>
      <rPr>
        <sz val="11"/>
        <color theme="1"/>
        <rFont val="Times New Roman"/>
        <family val="1"/>
        <charset val="204"/>
      </rPr>
      <t>Забезпечення оздоровлення дітей пільгових категорій</t>
    </r>
  </si>
  <si>
    <r>
      <t xml:space="preserve">по загальному фонду: </t>
    </r>
    <r>
      <rPr>
        <sz val="10"/>
        <color theme="1"/>
        <rFont val="Times New Roman"/>
        <family val="1"/>
        <charset val="204"/>
      </rPr>
      <t>економія коштів склалася внаслідок зменшення видатків передбачених на цілі програми</t>
    </r>
    <r>
      <rPr>
        <b/>
        <sz val="10"/>
        <color theme="1"/>
        <rFont val="Times New Roman"/>
        <family val="1"/>
        <charset val="204"/>
      </rPr>
      <t xml:space="preserve"> (</t>
    </r>
    <r>
      <rPr>
        <sz val="10"/>
        <color theme="1"/>
        <rFont val="Times New Roman"/>
        <family val="1"/>
        <charset val="204"/>
      </rPr>
      <t xml:space="preserve">зменшення днів відвідування учнями загальноосвітніх закладів;                                            </t>
    </r>
    <r>
      <rPr>
        <b/>
        <sz val="10"/>
        <color theme="1"/>
        <rFont val="Times New Roman"/>
        <family val="1"/>
        <charset val="204"/>
      </rPr>
      <t xml:space="preserve">по спеціальному фонду: </t>
    </r>
    <r>
      <rPr>
        <sz val="10"/>
        <color theme="1"/>
        <rFont val="Times New Roman"/>
        <family val="1"/>
        <charset val="204"/>
      </rPr>
      <t>економія виникла у зв'язку із зміною у нормативно-правових актах, що призвело до коригування ПКД та повторної експертизи</t>
    </r>
  </si>
  <si>
    <r>
      <t xml:space="preserve">Завдання 1. </t>
    </r>
    <r>
      <rPr>
        <sz val="11"/>
        <color theme="1"/>
        <rFont val="Times New Roman"/>
        <family val="1"/>
        <charset val="204"/>
      </rPr>
      <t>Забезпечити  надання загальної середньої освіти працюючій молоді</t>
    </r>
  </si>
  <si>
    <r>
      <t>по загальному фонду:</t>
    </r>
    <r>
      <rPr>
        <sz val="11"/>
        <color theme="1"/>
        <rFont val="Times New Roman"/>
        <family val="1"/>
        <charset val="204"/>
      </rPr>
      <t xml:space="preserve"> економія коштів склалася внаслідок зменшення видатків передбачених на утримання закладу</t>
    </r>
  </si>
  <si>
    <r>
      <t xml:space="preserve">Завдання 1. </t>
    </r>
    <r>
      <rPr>
        <sz val="11"/>
        <color theme="1"/>
        <rFont val="Times New Roman"/>
        <family val="1"/>
        <charset val="204"/>
      </rPr>
      <t>Забезпечити надання належної освіти та відповідних умов перебування учнів у загальноосвітніх, санаторних школах-інтернатах</t>
    </r>
  </si>
  <si>
    <r>
      <t>по загальному фонду:</t>
    </r>
    <r>
      <rPr>
        <sz val="11"/>
        <color theme="1"/>
        <rFont val="Times New Roman"/>
        <family val="1"/>
        <charset val="204"/>
      </rPr>
      <t xml:space="preserve"> економія коштів склалася внаслідок зменшення видатків передбачених на утримання закладів                                 </t>
    </r>
    <r>
      <rPr>
        <b/>
        <sz val="11"/>
        <color theme="1"/>
        <rFont val="Times New Roman"/>
        <family val="1"/>
        <charset val="204"/>
      </rPr>
      <t xml:space="preserve"> по спеціальному фонду:</t>
    </r>
    <r>
      <rPr>
        <sz val="11"/>
        <color theme="1"/>
        <rFont val="Times New Roman"/>
        <family val="1"/>
        <charset val="204"/>
      </rPr>
      <t xml:space="preserve"> економія виникла за рахунок моніторингу цінової політики при покупці обладнання </t>
    </r>
  </si>
  <si>
    <r>
      <t xml:space="preserve">Завдання 2. </t>
    </r>
    <r>
      <rPr>
        <sz val="11"/>
        <color theme="1"/>
        <rFont val="Times New Roman"/>
        <family val="1"/>
        <charset val="204"/>
      </rPr>
      <t>Покращення матеріально-технічної бази загальноосвітніх шкіл-інтернатів, загальноосвітніх санаторних шкіл-інтернатів</t>
    </r>
  </si>
  <si>
    <r>
      <t xml:space="preserve">по спеціальному фонду: </t>
    </r>
    <r>
      <rPr>
        <sz val="11"/>
        <color theme="1"/>
        <rFont val="Times New Roman"/>
        <family val="1"/>
        <charset val="204"/>
      </rPr>
      <t>економія виникла за рахунок моніторингу цінової політики при покупці обладна</t>
    </r>
    <r>
      <rPr>
        <b/>
        <sz val="11"/>
        <color theme="1"/>
        <rFont val="Times New Roman"/>
        <family val="1"/>
        <charset val="204"/>
      </rPr>
      <t xml:space="preserve">ння </t>
    </r>
  </si>
  <si>
    <r>
      <t xml:space="preserve">по загальному фонду: </t>
    </r>
    <r>
      <rPr>
        <sz val="11"/>
        <color theme="1"/>
        <rFont val="Times New Roman"/>
        <family val="1"/>
        <charset val="204"/>
      </rPr>
      <t xml:space="preserve">економія виникла у зв'язку з уточненням списків педпрацівників для проходження курсів та із моніторингом цінової політики при покупці обладнання на виконання проектів-переможців конкурсу "Громадський бюджет"                                                 </t>
    </r>
    <r>
      <rPr>
        <b/>
        <sz val="11"/>
        <color theme="1"/>
        <rFont val="Times New Roman"/>
        <family val="1"/>
        <charset val="204"/>
      </rPr>
      <t>по спеціальному фонду:</t>
    </r>
    <r>
      <rPr>
        <sz val="11"/>
        <color theme="1"/>
        <rFont val="Times New Roman"/>
        <family val="1"/>
        <charset val="204"/>
      </rPr>
      <t xml:space="preserve"> економія виникла за рахунок моніторингу цінової політики при покупці обладнання </t>
    </r>
  </si>
  <si>
    <t xml:space="preserve">*збільшення обсягу витрат на придбання обладнання довгострокового користування виникло за рахунок благодійних внесків;                                                                                                                                                                                                                                         *зменшення обсягу видатків на проведення капітального ремонту виникла у зв'язку з моніторингом цінової політики на придбання  матеріалів та обладнання  для виконання капітальних робіт при створенні медіотеки, а також обсяги робіт виявились меншими ніж при плануванні  </t>
  </si>
  <si>
    <r>
      <t>Завдання 1.</t>
    </r>
    <r>
      <rPr>
        <sz val="11"/>
        <color theme="1"/>
        <rFont val="Times New Roman"/>
        <family val="1"/>
        <charset val="204"/>
      </rPr>
      <t xml:space="preserve"> 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  </r>
  </si>
  <si>
    <r>
      <t>по загальному фонду:</t>
    </r>
    <r>
      <rPr>
        <sz val="11"/>
        <color theme="1"/>
        <rFont val="Times New Roman"/>
        <family val="1"/>
        <charset val="204"/>
      </rPr>
      <t xml:space="preserve"> економія коштів склалася внаслідок зменшення видатків передбачених на утримання закладу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по спеціальному фонду: </t>
    </r>
    <r>
      <rPr>
        <sz val="11"/>
        <color theme="1"/>
        <rFont val="Times New Roman"/>
        <family val="1"/>
        <charset val="204"/>
      </rPr>
      <t>понадпланові надходження виникли за рахунок благодійних внесків</t>
    </r>
  </si>
  <si>
    <r>
      <t xml:space="preserve">по загальному фонду:  </t>
    </r>
    <r>
      <rPr>
        <sz val="11"/>
        <color theme="1"/>
        <rFont val="Times New Roman"/>
        <family val="1"/>
        <charset val="204"/>
      </rPr>
      <t>еономія склалася за рахунок відсутності педагогічних працівників, які потребують проходження курсів (звільнення педагогічного працівника)</t>
    </r>
  </si>
  <si>
    <t xml:space="preserve">Спеціаліст І категорії, бухгалтер управління освіти і науки </t>
  </si>
  <si>
    <t>Ю.Філатова</t>
  </si>
  <si>
    <r>
      <t xml:space="preserve">Завдання 1. </t>
    </r>
    <r>
      <rPr>
        <sz val="11"/>
        <color theme="1"/>
        <rFont val="Times New Roman"/>
        <family val="1"/>
        <charset val="204"/>
      </rPr>
      <t>Забезпечити залучення та надання належних умов виховання дітей в умовах позашкільної освіти</t>
    </r>
  </si>
  <si>
    <r>
      <t xml:space="preserve">Завдання 2. </t>
    </r>
    <r>
      <rPr>
        <sz val="11"/>
        <color theme="1"/>
        <rFont val="Times New Roman"/>
        <family val="1"/>
        <charset val="204"/>
      </rPr>
      <t>Забезпечення оздоровлення дітей пільгових категорійдів</t>
    </r>
  </si>
  <si>
    <r>
      <t>по загальному фонду:</t>
    </r>
    <r>
      <rPr>
        <sz val="11"/>
        <color theme="1"/>
        <rFont val="Times New Roman"/>
        <family val="1"/>
        <charset val="204"/>
      </rPr>
      <t xml:space="preserve"> економія коштів склалася внаслідок зменшення видатків передбачених на утримання закладів   </t>
    </r>
  </si>
  <si>
    <r>
      <t>Завдання 3.</t>
    </r>
    <r>
      <rPr>
        <sz val="11"/>
        <color theme="1"/>
        <rFont val="Times New Roman"/>
        <family val="1"/>
        <charset val="204"/>
      </rPr>
      <t xml:space="preserve"> Придбання обладнання та предметів довгострокового користування</t>
    </r>
  </si>
  <si>
    <r>
      <t xml:space="preserve">по спеціальному фонду: </t>
    </r>
    <r>
      <rPr>
        <sz val="11"/>
        <color theme="1"/>
        <rFont val="Times New Roman"/>
        <family val="1"/>
        <charset val="204"/>
      </rPr>
      <t>понадпланові надходження виникли за рахунок благодійних внесків</t>
    </r>
  </si>
  <si>
    <r>
      <t xml:space="preserve">по загальному фонду: </t>
    </r>
    <r>
      <rPr>
        <sz val="11"/>
        <color theme="1"/>
        <rFont val="Times New Roman"/>
        <family val="1"/>
        <charset val="204"/>
      </rPr>
      <t>економія виникла у зв'язку з неможливістю проведення робіт з встановлення АПС, оскільки виготовлення ПКД припало на кінець звітнього періоду</t>
    </r>
  </si>
  <si>
    <t>*збільшення середньої кількості дітей відбулось у зв'язку із збільшенням відсотку наповнюваності груп вихованцями;                                                                                                                                                                                                                                           *зменшення втитрат на одну дитину виникло у зв'язку з раціональним та економним використанням бюджетних коштів</t>
  </si>
  <si>
    <r>
      <t>Завдання 1.</t>
    </r>
    <r>
      <rPr>
        <sz val="11"/>
        <color theme="1"/>
        <rFont val="Times New Roman"/>
        <family val="1"/>
        <charset val="204"/>
      </rPr>
      <t xml:space="preserve"> Забезпечити належну методичну роботу  в установах освіти</t>
    </r>
  </si>
  <si>
    <r>
      <t xml:space="preserve">Завдання 2. </t>
    </r>
    <r>
      <rPr>
        <sz val="11"/>
        <color theme="1"/>
        <rFont val="Times New Roman"/>
        <family val="1"/>
        <charset val="204"/>
      </rPr>
      <t>Централізоване забезпечення покращення матеріально-технічної бази закладів освіти міста</t>
    </r>
  </si>
  <si>
    <r>
      <rPr>
        <b/>
        <sz val="11"/>
        <color theme="1"/>
        <rFont val="Times New Roman"/>
        <family val="1"/>
        <charset val="204"/>
      </rPr>
      <t>по загальному фонду:</t>
    </r>
    <r>
      <rPr>
        <sz val="11"/>
        <color theme="1"/>
        <rFont val="Times New Roman"/>
        <family val="1"/>
        <charset val="204"/>
      </rPr>
      <t xml:space="preserve"> економія коштів склалася внаслідок економного та раціонального використання бюджетних коштів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по спеціальному фонду:</t>
    </r>
    <r>
      <rPr>
        <sz val="11"/>
        <color theme="1"/>
        <rFont val="Times New Roman"/>
        <family val="1"/>
        <charset val="204"/>
      </rPr>
      <t xml:space="preserve">  економія виникла у зв'язку із зміною у нормативно-правових актах, що призвело до коригування ПКД та повторної експертизи, погіршенням погодних умов та моніторингом цінової політики на придбання обладнання </t>
    </r>
  </si>
  <si>
    <r>
      <t xml:space="preserve"> по спеціальному фонду: </t>
    </r>
    <r>
      <rPr>
        <sz val="11"/>
        <color theme="1"/>
        <rFont val="Times New Roman"/>
        <family val="1"/>
        <charset val="204"/>
      </rPr>
      <t xml:space="preserve">економія виникла у зв'язку із зміною у нормативно-правових актах, що призвело до коригування ПКД та повторної експертизи, погіршенням погодних умов та моніторингом цінової політики на придбання обладнання </t>
    </r>
  </si>
  <si>
    <r>
      <t xml:space="preserve">по загальному фонду: </t>
    </r>
    <r>
      <rPr>
        <sz val="11"/>
        <color theme="1"/>
        <rFont val="Times New Roman"/>
        <family val="1"/>
        <charset val="204"/>
      </rPr>
      <t>економія склалася у зв'язку із моніторингом цінової політики на виготовлення ПКД та проведення поточних робіт</t>
    </r>
  </si>
  <si>
    <r>
      <t xml:space="preserve">по загальному фонду: </t>
    </r>
    <r>
      <rPr>
        <sz val="11"/>
        <color theme="1"/>
        <rFont val="Times New Roman"/>
        <family val="1"/>
        <charset val="204"/>
      </rPr>
      <t>економія коштів склалася внаслідок зменшення видатків передбачених на здійснення методичної роботи в установах освіти</t>
    </r>
  </si>
  <si>
    <t>*зменшення обсягу витрат винокло у зв'язку з економним та раціональним використанням бюджетних коштів за 2017 рік;                                                                                                                                                                                                                                                    *збільшення середньої кількості ставок виникло у зв'язку із ставки завідувача ПМПК</t>
  </si>
  <si>
    <t>*збільшення кількості заходів відбулось у зв'язку з проведенням додаткових заходів для дітей дошкільного віку;                                                                                                                                                                                                                                                 *збільшення середньої кількості дітей, які брали участь у заходах відбулось за рахунок участі дітей дошкільного віку</t>
  </si>
  <si>
    <t>*зменшення видатків на придбання побутової техніки та обладнання довгострокового користування виникло у зв'язку з моніторингом цнової політики при закупівлі обладнання;                                                                                                                                                                                                                           *економія видатків на проведення капітльних ремонтів склалась у зв'язку із зміною у нормативно-правових актах, що призвело до коригування ПКД та повторної експертизи</t>
  </si>
  <si>
    <t xml:space="preserve">Здійснено велику роботу із дітьми з особливими освітніми потребами, що дало змогу батькам більш розумно обрати спосіб перебування та навчання дітей в закладах освіти міста.   </t>
  </si>
  <si>
    <t>*зменшення кількості проведених капітальних ремонтів склалась у зв'язку із змінами у нормативно-правових актах, що призвело до коригування ПКД та повторної експертизи</t>
  </si>
  <si>
    <t>*зменшення відсотку оновлення обладнання та предметів довгострокового користування виникло у зв'язку з моніторингом цінової політики на придбання обладнання;                                                                                                                                                                                                   *зменшення відсотку здійснених капітальних ремонтів склась у зв'язку із змінами у нормативно-правових актах, що призвело до коригування ПКД та повторної експертизи</t>
  </si>
  <si>
    <t xml:space="preserve">У 2017 році було частково оновлено матеріално-технічну базу закладів освіти місьа. Здійснено проведення поточних ремонтів більш ніж у 50 закладах. Встановлено протипожежну сигналізацію у 7 закладах та відеоспостереження, що дало змогу зробити заклади більш беспечними для дітей, учнів та вихованців міста. Провдено капітальні ремонти по замін вікон, покрівель, оновлення спортивних залів, фасадів, приміщень тощо у більш ніж 40 закладах освіти. Капітальні ремонти у було виконано на 72% у зв'язку із зщмінами у нормативно-правових актах, що призвело до коригування ПКД та повторної експертизи, а також у зв'зку з погодними умовами, які не дали змогу закінчити роботи у 2017 році. Заверження робіт планується у 2018 році. </t>
  </si>
  <si>
    <r>
      <t xml:space="preserve">Завдання 1. </t>
    </r>
    <r>
      <rPr>
        <sz val="11"/>
        <color theme="1"/>
        <rFont val="Times New Roman"/>
        <family val="1"/>
        <charset val="204"/>
      </rPr>
      <t>Забезпечити складання і надання кошторисної, звітної, фінансової документації, фінансування установ освіти згідно з затвердженими кошторисами</t>
    </r>
  </si>
  <si>
    <r>
      <t>по загальному фонду:</t>
    </r>
    <r>
      <rPr>
        <sz val="11"/>
        <color theme="1"/>
        <rFont val="Times New Roman"/>
        <family val="1"/>
        <charset val="204"/>
      </rPr>
      <t xml:space="preserve"> економія коштів склалася внаслідок зменшення видатків передбачених на утримання централізованих бухгалтерій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по спеціальному фонду: </t>
    </r>
    <r>
      <rPr>
        <sz val="11"/>
        <color theme="1"/>
        <rFont val="Times New Roman"/>
        <family val="1"/>
        <charset val="204"/>
      </rPr>
      <t>економія склалася у зв'язку із моніторингом цінової політики при покупці обладнання</t>
    </r>
  </si>
  <si>
    <r>
      <t xml:space="preserve">Завдання 1. </t>
    </r>
    <r>
      <rPr>
        <sz val="11"/>
        <color theme="1"/>
        <rFont val="Times New Roman"/>
        <family val="1"/>
        <charset val="204"/>
      </rPr>
      <t>Забезпечити надання якісних послуг з централізованого господарського обслуговування</t>
    </r>
  </si>
  <si>
    <r>
      <t>по загальному фонду:</t>
    </r>
    <r>
      <rPr>
        <sz val="11"/>
        <rFont val="Times New Roman"/>
        <family val="1"/>
        <charset val="204"/>
      </rPr>
      <t xml:space="preserve"> економія коштів склалася внаслідок зменшення видатків передбачених на утримання господарчих груп                                                    </t>
    </r>
    <r>
      <rPr>
        <b/>
        <sz val="11"/>
        <rFont val="Times New Roman"/>
        <family val="1"/>
        <charset val="204"/>
      </rPr>
      <t xml:space="preserve">по спеціальному фонду: </t>
    </r>
    <r>
      <rPr>
        <sz val="11"/>
        <rFont val="Times New Roman"/>
        <family val="1"/>
        <charset val="204"/>
      </rPr>
      <t xml:space="preserve">економія виникла за рахунок моніторингу цінової політики при покупці обладнання </t>
    </r>
  </si>
  <si>
    <t>Річна звітність на 01.01.2017 рік, Звітність установ</t>
  </si>
  <si>
    <t>Господарчими групами забезпечено виконання заходів для створення ефективних умов діяльності більш ніж 18 тис. працівників та більш ніж 100 тис. учнів і вихованців навчальних закладів міста</t>
  </si>
  <si>
    <r>
      <t xml:space="preserve">Завдання 1. </t>
    </r>
    <r>
      <rPr>
        <sz val="11"/>
        <color theme="1"/>
        <rFont val="Times New Roman"/>
        <family val="1"/>
        <charset val="204"/>
      </rPr>
      <t>Забезпечення проведення первинної професійної орієнтації учнів у навчально-виробничих комбінатах</t>
    </r>
  </si>
  <si>
    <r>
      <t>по загальному фонду:</t>
    </r>
    <r>
      <rPr>
        <sz val="11"/>
        <rFont val="Times New Roman"/>
        <family val="1"/>
        <charset val="204"/>
      </rPr>
      <t xml:space="preserve"> економія коштів склалася внаслідок зменшення видатків передбачених на утримання господарчих груп                                                    </t>
    </r>
    <r>
      <rPr>
        <b/>
        <sz val="11"/>
        <rFont val="Times New Roman"/>
        <family val="1"/>
        <charset val="204"/>
      </rPr>
      <t xml:space="preserve">по спеціальному фонду: </t>
    </r>
    <r>
      <rPr>
        <sz val="11"/>
        <rFont val="Times New Roman"/>
        <family val="1"/>
        <charset val="204"/>
      </rPr>
      <t xml:space="preserve">економія виникла за рахунок моніторингу цінової політики </t>
    </r>
  </si>
  <si>
    <t xml:space="preserve">Діючий у місті навчально-виробничий комбінатом забезпечив можливість учням випускних класів визначитись в якому професійному напрямку вчитись у подальшрму. У 2017 році було надано послуги 835 учням. </t>
  </si>
  <si>
    <r>
      <t xml:space="preserve">Завдання 1. </t>
    </r>
    <r>
      <rPr>
        <sz val="11"/>
        <color theme="1"/>
        <rFont val="Times New Roman"/>
        <family val="1"/>
        <charset val="204"/>
      </rPr>
      <t>Забезпечити надання допомоги  дітям-сиротам та дітям, позбавленим батьківського піклування, яким виповнюється 18 років</t>
    </r>
  </si>
  <si>
    <r>
      <t>по загальному фонду:</t>
    </r>
    <r>
      <rPr>
        <sz val="11"/>
        <color theme="1"/>
        <rFont val="Times New Roman"/>
        <family val="1"/>
        <charset val="204"/>
      </rPr>
      <t xml:space="preserve"> економія виникла у зв'язку зі зміною контингенту дітей даної пільгової категорії</t>
    </r>
  </si>
  <si>
    <t>В рамках Програми перспективного розвитку освіти м. ривого Рогу на 2016-2018 роки  надано допомогу 221 дітині-сироти та дітям, позбавленим батьківського піклування, яким виповнюється 18 років, що дало змогу таким дітям придбати необхідні речі при вступі до вишіх навчальних закладів</t>
  </si>
  <si>
    <r>
      <t xml:space="preserve">Завдання 1. </t>
    </r>
    <r>
      <rPr>
        <sz val="11"/>
        <color theme="1"/>
        <rFont val="Times New Roman"/>
        <family val="1"/>
        <charset val="204"/>
      </rPr>
      <t>Забезпечення безпечного перебування дітей (учнів) у закладах освіти міста</t>
    </r>
  </si>
  <si>
    <r>
      <t>по спеціальному фонду:</t>
    </r>
    <r>
      <rPr>
        <sz val="11"/>
        <color theme="1"/>
        <rFont val="Times New Roman"/>
        <family val="1"/>
        <charset val="204"/>
      </rPr>
      <t xml:space="preserve"> економія виникла у зв'язку із зміною кількості придбаних контейнерів</t>
    </r>
  </si>
  <si>
    <t xml:space="preserve">*зменшення обсягу витрат виникло у зв'язку із зміною контингенту дітей;                                                                                                                                                                                                                                                                                                                *зменшення відсотку відбулось  внаслідок зменшення кількості дітей, які отримали виплату грошової допомоги </t>
  </si>
  <si>
    <t>В рамках Програми перспективного розвитку освіти м. ривого Рогу на 2016-2018 роки  надано допомогу 38 дітям-сиротам та дітям, позбавленим батьківського піклування, які за медичними показниками не змогли оздоровитися в літній період</t>
  </si>
  <si>
    <r>
      <t xml:space="preserve">Завдання 1. </t>
    </r>
    <r>
      <rPr>
        <sz val="11"/>
        <color theme="1"/>
        <rFont val="Times New Roman"/>
        <family val="1"/>
        <charset val="204"/>
      </rPr>
      <t>Створення сприятливих умов для якісного відпочинку та оздоровлення дітей та молоді, які потребують особливої соціальної уваги та підтримки</t>
    </r>
  </si>
  <si>
    <r>
      <t xml:space="preserve">по загальному фонду: </t>
    </r>
    <r>
      <rPr>
        <sz val="11"/>
        <color theme="1"/>
        <rFont val="Times New Roman"/>
        <family val="1"/>
        <charset val="204"/>
      </rPr>
      <t>економія виникла у зв'язку зі зміною контингенту дітей даної пільгової катего</t>
    </r>
  </si>
  <si>
    <t>В рамках програма вирішення екологічних проблем Кривбасу та полібшення стану навколишнього природного середовища на 2016 - 2025 роки у 2017 році було придбано 421 сміттєвий контейнер для закладів освіти містаКривого Рогу</t>
  </si>
  <si>
    <r>
      <t xml:space="preserve">Завдання 1. </t>
    </r>
    <r>
      <rPr>
        <sz val="11"/>
        <color theme="1"/>
        <rFont val="Times New Roman"/>
        <family val="1"/>
        <charset val="204"/>
      </rPr>
      <t>Забезпечення будівництва об'єктів</t>
    </r>
  </si>
  <si>
    <r>
      <t xml:space="preserve">Завдання 2. </t>
    </r>
    <r>
      <rPr>
        <sz val="11"/>
        <color theme="1"/>
        <rFont val="Times New Roman"/>
        <family val="1"/>
        <charset val="204"/>
      </rPr>
      <t>Проектування реконструкції об'єктів</t>
    </r>
  </si>
  <si>
    <r>
      <t>по спеціальному фонду:</t>
    </r>
    <r>
      <rPr>
        <sz val="11"/>
        <rFont val="Times New Roman"/>
        <family val="1"/>
        <charset val="204"/>
      </rPr>
      <t xml:space="preserve"> економія виникла у зв'язку з відсутністю технічних можливостей та погіршенням погодних умов</t>
    </r>
  </si>
  <si>
    <r>
      <t>по спеціальному фонду:</t>
    </r>
    <r>
      <rPr>
        <sz val="11"/>
        <rFont val="Times New Roman"/>
        <family val="1"/>
        <charset val="204"/>
      </rPr>
      <t xml:space="preserve"> економія виникла у зв'язку із змінами у нормативно-правових актах, що призвело до коригування ПКД та повторної експертизи та погіршеням погодних умов</t>
    </r>
  </si>
  <si>
    <r>
      <t>по спеціальному фонду:</t>
    </r>
    <r>
      <rPr>
        <sz val="11"/>
        <rFont val="Times New Roman"/>
        <family val="1"/>
        <charset val="204"/>
      </rPr>
      <t xml:space="preserve"> економія виникла у зв'язку із відсутністю технічним можливостей</t>
    </r>
  </si>
  <si>
    <t>*У 2017 році було заплановано реконструкцію системи опалення у ДНЗ№203, ПНЗ "Олімп" та у Вальдорфській школі, а також проведення будівельних робіт у КЗШ№115. Закінчення робіт із будівництва та реконструкції планужться завершити у 2018 році.</t>
  </si>
  <si>
    <r>
      <t xml:space="preserve">Завдання 1. </t>
    </r>
    <r>
      <rPr>
        <sz val="11"/>
        <color theme="1"/>
        <rFont val="Times New Roman"/>
        <family val="1"/>
        <charset val="204"/>
      </rPr>
      <t>Підготовка спортивного резерву та підвищення рівня фізичної підготовленості дітей дитячо-юнацькими спортивними школами</t>
    </r>
  </si>
  <si>
    <r>
      <t>по загальному фонду:</t>
    </r>
    <r>
      <rPr>
        <sz val="11"/>
        <color theme="1"/>
        <rFont val="Times New Roman"/>
        <family val="1"/>
        <charset val="204"/>
      </rPr>
      <t xml:space="preserve"> економія коштів склалася внаслідок зменшення видатків передбачених на утримання закладів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по спеціальному фонду: </t>
    </r>
    <r>
      <rPr>
        <sz val="11"/>
        <color theme="1"/>
        <rFont val="Times New Roman"/>
        <family val="1"/>
        <charset val="204"/>
      </rPr>
      <t xml:space="preserve">економія виникла за рахунок моніторингу цінової політики при закупівлі обладнання </t>
    </r>
  </si>
  <si>
    <r>
      <t xml:space="preserve">Завдання 2. </t>
    </r>
    <r>
      <rPr>
        <sz val="11"/>
        <color theme="1"/>
        <rFont val="Times New Roman"/>
        <family val="1"/>
        <charset val="204"/>
      </rPr>
      <t>Покращення матеріально-технічної бази дитячо-юнацьких спортивних шкіл</t>
    </r>
  </si>
  <si>
    <r>
      <rPr>
        <b/>
        <sz val="11"/>
        <rFont val="Times New Roman"/>
        <family val="1"/>
        <charset val="204"/>
      </rPr>
      <t xml:space="preserve">по спеціальному фонду: </t>
    </r>
    <r>
      <rPr>
        <sz val="11"/>
        <rFont val="Times New Roman"/>
        <family val="1"/>
        <charset val="204"/>
      </rPr>
      <t>економія виникла внаслідок виявлення додаткових робіт, що призвело до внесення змін у ПКД та проходження нової експертизи, це призвело до обмеження термінів виконання ремонтних робіт</t>
    </r>
  </si>
  <si>
    <t>*зменшення обсягу видатків виникло у зв'язку з економним та раціональним використанням бюджетних коштів;                                                                                                                                                                                                                                                                                         *зменчення обсягу витрат на забезпечення учнів у спортивних змаганням виникло внаслідок фактичного використання коштів у відрядження на змагання</t>
  </si>
  <si>
    <t>*зменшення середніх витрат на утримання ДЮСШ, з розрахунку на одного працівника відбульсь внаслідок економного та раціонального використання бюджетних коштів;                                                                                                                                                                                                                                                                                                                          *збільшення середної заробітньої плати відбулось у зв'язку із підняттям з 01.09.2017 року заробіної плати педпрацівникам на 1 тарифний розряд;                                                                                                                                                                                                                                                                *зменшення витрат на навчально-тренувальну роботу та на забезпечення участі одного учня у регіональних змаганнях відбулося в наслідок  зменшення видатків передбачених на утримання закладів</t>
  </si>
  <si>
    <t>*збільшення середньої кількості учнів, які здобули призові місця в регіональних спортивних змаганнях відбулось за рахунок збільшення відсотку учнів.ю які взяли участь у змаганнях;                                                                                                                                                                                          *збільшення середньої кількісті підготовлених майстрів спорту/ кандидатів у майстри спорту України відбулось відповідно до фактичного збільшення кількості учнів, які готувались до прийняття звання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</si>
</sst>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_ ;[Red]\-#,##0.000\ "/>
    <numFmt numFmtId="165" formatCode="#,##0_ ;[Red]\-#,##0\ "/>
    <numFmt numFmtId="166" formatCode="0.000"/>
    <numFmt numFmtId="167" formatCode="#,##0.000"/>
    <numFmt numFmtId="168" formatCode="#,##0.00_ ;[Red]\-#,##0.00\ "/>
    <numFmt numFmtId="169" formatCode="0_ ;[Red]\-0\ "/>
    <numFmt numFmtId="17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164" fontId="5" fillId="0" borderId="3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68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left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168" fontId="10" fillId="0" borderId="3" xfId="0" applyNumberFormat="1" applyFont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69" fontId="1" fillId="0" borderId="3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7" fontId="1" fillId="0" borderId="3" xfId="1" applyNumberFormat="1" applyFont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16"/>
  <sheetViews>
    <sheetView view="pageBreakPreview" topLeftCell="A88" zoomScale="70" zoomScaleSheetLayoutView="70" workbookViewId="0">
      <selection activeCell="M117" sqref="M117"/>
    </sheetView>
  </sheetViews>
  <sheetFormatPr defaultRowHeight="15" x14ac:dyDescent="0.25"/>
  <cols>
    <col min="1" max="1" width="5" style="17" customWidth="1"/>
    <col min="2" max="2" width="10.28515625" style="17" customWidth="1"/>
    <col min="3" max="3" width="9.140625" style="17" customWidth="1"/>
    <col min="4" max="4" width="13.42578125" style="17" customWidth="1"/>
    <col min="5" max="5" width="13" style="17" customWidth="1"/>
    <col min="6" max="6" width="13.140625" style="17" customWidth="1"/>
    <col min="7" max="8" width="14.42578125" style="17" customWidth="1"/>
    <col min="9" max="9" width="27" style="17" customWidth="1"/>
    <col min="10" max="10" width="22.5703125" style="17" customWidth="1"/>
    <col min="11" max="11" width="16.7109375" style="17" customWidth="1"/>
    <col min="12" max="12" width="14.140625" style="17" customWidth="1"/>
    <col min="13" max="13" width="14.5703125" style="17" customWidth="1"/>
    <col min="14" max="14" width="13.28515625" style="17" customWidth="1"/>
    <col min="15" max="15" width="15.5703125" style="17" customWidth="1"/>
    <col min="16" max="16" width="38" style="17" customWidth="1"/>
    <col min="17" max="17" width="12.42578125" style="17" customWidth="1"/>
    <col min="18" max="18" width="11.42578125" style="17" bestFit="1" customWidth="1"/>
    <col min="19" max="19" width="11.140625" style="17" customWidth="1"/>
    <col min="20" max="16384" width="9.140625" style="17"/>
  </cols>
  <sheetData>
    <row r="1" spans="1:16" ht="14.25" customHeight="1" x14ac:dyDescent="0.25">
      <c r="P1" s="5" t="s">
        <v>0</v>
      </c>
    </row>
    <row r="2" spans="1:16" ht="13.5" customHeight="1" x14ac:dyDescent="0.25">
      <c r="P2" s="5" t="s">
        <v>1</v>
      </c>
    </row>
    <row r="3" spans="1:16" ht="12.75" customHeight="1" x14ac:dyDescent="0.25">
      <c r="P3" s="5" t="s">
        <v>2</v>
      </c>
    </row>
    <row r="6" spans="1:16" ht="15" customHeight="1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8" customHeight="1" x14ac:dyDescent="0.25">
      <c r="A7" s="18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5.75" customHeight="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1.25" customHeight="1" x14ac:dyDescent="0.25"/>
    <row r="10" spans="1:16" ht="20.25" customHeight="1" x14ac:dyDescent="0.25">
      <c r="A10" s="19" t="s">
        <v>6</v>
      </c>
      <c r="B10" s="20">
        <v>1000000</v>
      </c>
      <c r="C10" s="21" t="s">
        <v>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2.75" customHeight="1" x14ac:dyDescent="0.25">
      <c r="B11" s="1" t="s">
        <v>7</v>
      </c>
      <c r="C11" s="13" t="s">
        <v>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7.25" customHeight="1" x14ac:dyDescent="0.25">
      <c r="A12" s="19" t="s">
        <v>9</v>
      </c>
      <c r="B12" s="20">
        <v>1010000</v>
      </c>
      <c r="C12" s="21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9.75" customHeight="1" x14ac:dyDescent="0.25">
      <c r="B13" s="1" t="s">
        <v>7</v>
      </c>
      <c r="C13" s="13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5.75" customHeight="1" x14ac:dyDescent="0.25">
      <c r="A14" s="19" t="s">
        <v>11</v>
      </c>
      <c r="B14" s="20">
        <v>1011010</v>
      </c>
      <c r="C14" s="22" t="s">
        <v>52</v>
      </c>
      <c r="D14" s="21" t="s">
        <v>53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1.25" customHeight="1" x14ac:dyDescent="0.25">
      <c r="B15" s="1" t="s">
        <v>7</v>
      </c>
      <c r="C15" s="1" t="s">
        <v>12</v>
      </c>
      <c r="D15" s="14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0.25" customHeight="1" x14ac:dyDescent="0.25">
      <c r="A16" s="19" t="s">
        <v>14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22" ht="10.5" customHeight="1" x14ac:dyDescent="0.25">
      <c r="P17" s="2" t="s">
        <v>16</v>
      </c>
    </row>
    <row r="18" spans="1:22" ht="18.75" customHeight="1" x14ac:dyDescent="0.25">
      <c r="A18" s="25" t="s">
        <v>17</v>
      </c>
      <c r="B18" s="25"/>
      <c r="C18" s="25"/>
      <c r="D18" s="25"/>
      <c r="E18" s="25"/>
      <c r="F18" s="25"/>
      <c r="G18" s="25" t="s">
        <v>18</v>
      </c>
      <c r="H18" s="25"/>
      <c r="I18" s="25"/>
      <c r="J18" s="25"/>
      <c r="K18" s="25"/>
      <c r="L18" s="25"/>
      <c r="M18" s="25" t="s">
        <v>22</v>
      </c>
      <c r="N18" s="25"/>
      <c r="O18" s="25"/>
      <c r="P18" s="25"/>
    </row>
    <row r="19" spans="1:22" ht="30.75" customHeight="1" x14ac:dyDescent="0.25">
      <c r="A19" s="26" t="s">
        <v>19</v>
      </c>
      <c r="B19" s="26"/>
      <c r="C19" s="26" t="s">
        <v>20</v>
      </c>
      <c r="D19" s="26"/>
      <c r="E19" s="26" t="s">
        <v>21</v>
      </c>
      <c r="F19" s="26"/>
      <c r="G19" s="26" t="s">
        <v>19</v>
      </c>
      <c r="H19" s="26"/>
      <c r="I19" s="26" t="s">
        <v>20</v>
      </c>
      <c r="J19" s="26"/>
      <c r="K19" s="26" t="s">
        <v>21</v>
      </c>
      <c r="L19" s="26"/>
      <c r="M19" s="26" t="s">
        <v>19</v>
      </c>
      <c r="N19" s="26"/>
      <c r="O19" s="27" t="s">
        <v>20</v>
      </c>
      <c r="P19" s="27" t="s">
        <v>21</v>
      </c>
    </row>
    <row r="20" spans="1:22" s="3" customFormat="1" ht="9" customHeight="1" x14ac:dyDescent="0.2">
      <c r="A20" s="12">
        <v>1</v>
      </c>
      <c r="B20" s="12"/>
      <c r="C20" s="12">
        <v>2</v>
      </c>
      <c r="D20" s="12"/>
      <c r="E20" s="12">
        <v>3</v>
      </c>
      <c r="F20" s="12"/>
      <c r="G20" s="12">
        <v>4</v>
      </c>
      <c r="H20" s="12"/>
      <c r="I20" s="12">
        <v>5</v>
      </c>
      <c r="J20" s="12"/>
      <c r="K20" s="12">
        <v>6</v>
      </c>
      <c r="L20" s="12"/>
      <c r="M20" s="12">
        <v>7</v>
      </c>
      <c r="N20" s="12"/>
      <c r="O20" s="10">
        <v>8</v>
      </c>
      <c r="P20" s="10">
        <v>9</v>
      </c>
    </row>
    <row r="21" spans="1:22" ht="15" customHeight="1" x14ac:dyDescent="0.25">
      <c r="A21" s="30">
        <f>559488420/1000</f>
        <v>559488.42000000004</v>
      </c>
      <c r="B21" s="30"/>
      <c r="C21" s="30">
        <f>44819550/1000</f>
        <v>44819.55</v>
      </c>
      <c r="D21" s="30"/>
      <c r="E21" s="30">
        <f>A21+C21</f>
        <v>604307.97000000009</v>
      </c>
      <c r="F21" s="30"/>
      <c r="G21" s="30">
        <f>555400429.21/1000</f>
        <v>555400.42921000009</v>
      </c>
      <c r="H21" s="30"/>
      <c r="I21" s="30">
        <f>45938421.32/1000</f>
        <v>45938.421320000001</v>
      </c>
      <c r="J21" s="30"/>
      <c r="K21" s="30">
        <f>G21+I21</f>
        <v>601338.85053000005</v>
      </c>
      <c r="L21" s="30"/>
      <c r="M21" s="30">
        <f>G21-A21</f>
        <v>-4087.9907899999525</v>
      </c>
      <c r="N21" s="30"/>
      <c r="O21" s="9">
        <f>I21-C21</f>
        <v>1118.8713199999984</v>
      </c>
      <c r="P21" s="31">
        <f>M21+O21</f>
        <v>-2969.1194699999542</v>
      </c>
    </row>
    <row r="22" spans="1:22" ht="6.75" customHeight="1" x14ac:dyDescent="0.25"/>
    <row r="23" spans="1:22" x14ac:dyDescent="0.25">
      <c r="A23" s="19" t="s">
        <v>23</v>
      </c>
      <c r="B23" s="23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22" ht="11.25" customHeight="1" x14ac:dyDescent="0.25">
      <c r="P24" s="2" t="s">
        <v>16</v>
      </c>
    </row>
    <row r="25" spans="1:22" ht="34.5" customHeight="1" x14ac:dyDescent="0.25">
      <c r="A25" s="25" t="s">
        <v>25</v>
      </c>
      <c r="B25" s="25" t="s">
        <v>26</v>
      </c>
      <c r="C25" s="25" t="s">
        <v>27</v>
      </c>
      <c r="D25" s="25" t="s">
        <v>298</v>
      </c>
      <c r="E25" s="25"/>
      <c r="F25" s="25"/>
      <c r="G25" s="25" t="s">
        <v>28</v>
      </c>
      <c r="H25" s="25"/>
      <c r="I25" s="25"/>
      <c r="J25" s="25" t="s">
        <v>29</v>
      </c>
      <c r="K25" s="25"/>
      <c r="L25" s="25"/>
      <c r="M25" s="25" t="s">
        <v>22</v>
      </c>
      <c r="N25" s="25"/>
      <c r="O25" s="25"/>
      <c r="P25" s="32" t="s">
        <v>30</v>
      </c>
      <c r="Q25" s="33"/>
      <c r="R25" s="33"/>
      <c r="S25" s="33"/>
      <c r="T25" s="33"/>
      <c r="U25" s="33"/>
      <c r="V25" s="33"/>
    </row>
    <row r="26" spans="1:22" ht="27.75" customHeight="1" x14ac:dyDescent="0.25">
      <c r="A26" s="25"/>
      <c r="B26" s="25"/>
      <c r="C26" s="25"/>
      <c r="D26" s="25"/>
      <c r="E26" s="25"/>
      <c r="F26" s="25"/>
      <c r="G26" s="34" t="s">
        <v>19</v>
      </c>
      <c r="H26" s="34" t="s">
        <v>20</v>
      </c>
      <c r="I26" s="34" t="s">
        <v>21</v>
      </c>
      <c r="J26" s="34" t="s">
        <v>19</v>
      </c>
      <c r="K26" s="34" t="s">
        <v>20</v>
      </c>
      <c r="L26" s="34" t="s">
        <v>21</v>
      </c>
      <c r="M26" s="34" t="s">
        <v>19</v>
      </c>
      <c r="N26" s="34" t="s">
        <v>20</v>
      </c>
      <c r="O26" s="34" t="s">
        <v>21</v>
      </c>
      <c r="P26" s="32"/>
    </row>
    <row r="27" spans="1:22" s="4" customFormat="1" ht="12" customHeight="1" x14ac:dyDescent="0.25">
      <c r="A27" s="10">
        <v>1</v>
      </c>
      <c r="B27" s="10">
        <v>2</v>
      </c>
      <c r="C27" s="10">
        <v>3</v>
      </c>
      <c r="D27" s="12">
        <v>4</v>
      </c>
      <c r="E27" s="12"/>
      <c r="F27" s="12"/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1">
        <v>14</v>
      </c>
    </row>
    <row r="28" spans="1:22" s="36" customFormat="1" ht="24" customHeight="1" x14ac:dyDescent="0.25">
      <c r="A28" s="29"/>
      <c r="B28" s="37">
        <v>1011010</v>
      </c>
      <c r="C28" s="37">
        <v>910</v>
      </c>
      <c r="D28" s="38" t="s">
        <v>53</v>
      </c>
      <c r="E28" s="39"/>
      <c r="F28" s="40"/>
      <c r="G28" s="41">
        <f t="shared" ref="G28:L28" si="0">G29+G30</f>
        <v>559488.42000000004</v>
      </c>
      <c r="H28" s="41">
        <f t="shared" si="0"/>
        <v>44819.55</v>
      </c>
      <c r="I28" s="41">
        <f t="shared" si="0"/>
        <v>604307.97000000009</v>
      </c>
      <c r="J28" s="41">
        <f t="shared" si="0"/>
        <v>555400.429</v>
      </c>
      <c r="K28" s="41">
        <f t="shared" si="0"/>
        <v>45938.421320000009</v>
      </c>
      <c r="L28" s="41">
        <f t="shared" si="0"/>
        <v>601338.85032000009</v>
      </c>
      <c r="M28" s="41">
        <f t="shared" ref="M28:N30" si="1">J28-G28</f>
        <v>-4087.9910000000382</v>
      </c>
      <c r="N28" s="41">
        <f t="shared" si="1"/>
        <v>1118.8713200000057</v>
      </c>
      <c r="O28" s="41">
        <f>M28+N28-0.001</f>
        <v>-2969.1206800000327</v>
      </c>
      <c r="P28" s="42"/>
    </row>
    <row r="29" spans="1:22" ht="88.5" customHeight="1" x14ac:dyDescent="0.25">
      <c r="A29" s="37">
        <v>1</v>
      </c>
      <c r="B29" s="37">
        <v>1011010</v>
      </c>
      <c r="C29" s="43" t="s">
        <v>52</v>
      </c>
      <c r="D29" s="15" t="s">
        <v>299</v>
      </c>
      <c r="E29" s="15"/>
      <c r="F29" s="15"/>
      <c r="G29" s="9">
        <f>559488420/1000</f>
        <v>559488.42000000004</v>
      </c>
      <c r="H29" s="9">
        <f>38987763/1000</f>
        <v>38987.762999999999</v>
      </c>
      <c r="I29" s="9">
        <f>G29+H29</f>
        <v>598476.18300000008</v>
      </c>
      <c r="J29" s="9">
        <f>555400429/1000</f>
        <v>555400.429</v>
      </c>
      <c r="K29" s="9">
        <f>(45938421.32-4732179.8-20000-787147)/1000</f>
        <v>40399.094520000006</v>
      </c>
      <c r="L29" s="9">
        <f>J29+K29</f>
        <v>595799.52352000005</v>
      </c>
      <c r="M29" s="41">
        <f t="shared" si="1"/>
        <v>-4087.9910000000382</v>
      </c>
      <c r="N29" s="41">
        <f t="shared" si="1"/>
        <v>1411.331520000007</v>
      </c>
      <c r="O29" s="9">
        <f>M29+N29</f>
        <v>-2676.6594800000312</v>
      </c>
      <c r="P29" s="44" t="s">
        <v>300</v>
      </c>
    </row>
    <row r="30" spans="1:22" ht="42.75" customHeight="1" x14ac:dyDescent="0.25">
      <c r="A30" s="37">
        <v>2</v>
      </c>
      <c r="B30" s="37">
        <v>1011010</v>
      </c>
      <c r="C30" s="43" t="s">
        <v>52</v>
      </c>
      <c r="D30" s="15" t="s">
        <v>301</v>
      </c>
      <c r="E30" s="15"/>
      <c r="F30" s="15"/>
      <c r="G30" s="9">
        <v>0</v>
      </c>
      <c r="H30" s="9">
        <f>(5831787)/1000</f>
        <v>5831.7870000000003</v>
      </c>
      <c r="I30" s="9">
        <f>G30+H30</f>
        <v>5831.7870000000003</v>
      </c>
      <c r="J30" s="9">
        <v>0</v>
      </c>
      <c r="K30" s="9">
        <f>(4732179.8+807147)/1000</f>
        <v>5539.3267999999998</v>
      </c>
      <c r="L30" s="9">
        <f>J30+K30</f>
        <v>5539.3267999999998</v>
      </c>
      <c r="M30" s="41">
        <f t="shared" si="1"/>
        <v>0</v>
      </c>
      <c r="N30" s="41">
        <f t="shared" si="1"/>
        <v>-292.46020000000044</v>
      </c>
      <c r="O30" s="41">
        <f>L30-I30</f>
        <v>-292.46020000000044</v>
      </c>
      <c r="P30" s="45" t="s">
        <v>302</v>
      </c>
    </row>
    <row r="31" spans="1:22" ht="6.75" customHeight="1" x14ac:dyDescent="0.25">
      <c r="D31" s="46"/>
      <c r="E31" s="46"/>
      <c r="F31" s="46"/>
    </row>
    <row r="32" spans="1:22" x14ac:dyDescent="0.25">
      <c r="A32" s="17" t="s">
        <v>31</v>
      </c>
      <c r="B32" s="23" t="s">
        <v>32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7" ht="11.25" customHeight="1" x14ac:dyDescent="0.25">
      <c r="P33" s="2" t="s">
        <v>16</v>
      </c>
    </row>
    <row r="34" spans="1:17" ht="34.5" customHeight="1" x14ac:dyDescent="0.25">
      <c r="A34" s="25" t="s">
        <v>33</v>
      </c>
      <c r="B34" s="25"/>
      <c r="C34" s="25"/>
      <c r="D34" s="25"/>
      <c r="E34" s="25"/>
      <c r="F34" s="25"/>
      <c r="G34" s="25" t="s">
        <v>28</v>
      </c>
      <c r="H34" s="25"/>
      <c r="I34" s="25"/>
      <c r="J34" s="25" t="s">
        <v>29</v>
      </c>
      <c r="K34" s="25"/>
      <c r="L34" s="25"/>
      <c r="M34" s="25" t="s">
        <v>22</v>
      </c>
      <c r="N34" s="25"/>
      <c r="O34" s="25"/>
      <c r="P34" s="25" t="s">
        <v>30</v>
      </c>
    </row>
    <row r="35" spans="1:17" ht="29.25" customHeight="1" x14ac:dyDescent="0.25">
      <c r="A35" s="25"/>
      <c r="B35" s="25"/>
      <c r="C35" s="25"/>
      <c r="D35" s="25"/>
      <c r="E35" s="25"/>
      <c r="F35" s="25"/>
      <c r="G35" s="34" t="s">
        <v>19</v>
      </c>
      <c r="H35" s="34" t="s">
        <v>20</v>
      </c>
      <c r="I35" s="34" t="s">
        <v>21</v>
      </c>
      <c r="J35" s="34" t="s">
        <v>19</v>
      </c>
      <c r="K35" s="34" t="s">
        <v>20</v>
      </c>
      <c r="L35" s="34" t="s">
        <v>21</v>
      </c>
      <c r="M35" s="34" t="s">
        <v>19</v>
      </c>
      <c r="N35" s="34" t="s">
        <v>20</v>
      </c>
      <c r="O35" s="34" t="s">
        <v>21</v>
      </c>
      <c r="P35" s="25"/>
    </row>
    <row r="36" spans="1:17" s="4" customFormat="1" ht="12" customHeight="1" x14ac:dyDescent="0.25">
      <c r="A36" s="12">
        <v>1</v>
      </c>
      <c r="B36" s="12"/>
      <c r="C36" s="12"/>
      <c r="D36" s="12"/>
      <c r="E36" s="12"/>
      <c r="F36" s="12"/>
      <c r="G36" s="10">
        <v>2</v>
      </c>
      <c r="H36" s="10">
        <v>3</v>
      </c>
      <c r="I36" s="10">
        <v>4</v>
      </c>
      <c r="J36" s="10">
        <v>5</v>
      </c>
      <c r="K36" s="10">
        <v>6</v>
      </c>
      <c r="L36" s="10">
        <v>7</v>
      </c>
      <c r="M36" s="10">
        <v>8</v>
      </c>
      <c r="N36" s="10">
        <v>9</v>
      </c>
      <c r="O36" s="10">
        <v>10</v>
      </c>
      <c r="P36" s="10">
        <v>11</v>
      </c>
    </row>
    <row r="37" spans="1:17" ht="150" customHeight="1" x14ac:dyDescent="0.25">
      <c r="A37" s="15" t="s">
        <v>54</v>
      </c>
      <c r="B37" s="15"/>
      <c r="C37" s="15"/>
      <c r="D37" s="15"/>
      <c r="E37" s="15"/>
      <c r="F37" s="15"/>
      <c r="G37" s="9">
        <f>1514859/1000</f>
        <v>1514.8589999999999</v>
      </c>
      <c r="H37" s="9">
        <f>(5811787.06+20000)/1000</f>
        <v>5831.7870599999997</v>
      </c>
      <c r="I37" s="9">
        <f>G37+H37</f>
        <v>7346.6460599999991</v>
      </c>
      <c r="J37" s="9">
        <f>1266232/1000</f>
        <v>1266.232</v>
      </c>
      <c r="K37" s="9">
        <f>(4732179.8+20000)/1000</f>
        <v>4752.1797999999999</v>
      </c>
      <c r="L37" s="9">
        <f>J37+K37</f>
        <v>6018.4117999999999</v>
      </c>
      <c r="M37" s="9">
        <f>J37-G37</f>
        <v>-248.62699999999995</v>
      </c>
      <c r="N37" s="9">
        <f>K37-H37</f>
        <v>-1079.6072599999998</v>
      </c>
      <c r="O37" s="9">
        <f>M37+N37</f>
        <v>-1328.2342599999997</v>
      </c>
      <c r="P37" s="6" t="s">
        <v>303</v>
      </c>
    </row>
    <row r="38" spans="1:17" ht="45" customHeight="1" x14ac:dyDescent="0.25">
      <c r="A38" s="15" t="s">
        <v>55</v>
      </c>
      <c r="B38" s="15"/>
      <c r="C38" s="15"/>
      <c r="D38" s="15"/>
      <c r="E38" s="15"/>
      <c r="F38" s="15"/>
      <c r="G38" s="9">
        <f>389799/1000</f>
        <v>389.79899999999998</v>
      </c>
      <c r="H38" s="9">
        <v>0</v>
      </c>
      <c r="I38" s="9">
        <f>G38+H38</f>
        <v>389.79899999999998</v>
      </c>
      <c r="J38" s="9">
        <f>378972.7/1000</f>
        <v>378.97270000000003</v>
      </c>
      <c r="K38" s="9">
        <v>0</v>
      </c>
      <c r="L38" s="9">
        <f>J38+K38</f>
        <v>378.97270000000003</v>
      </c>
      <c r="M38" s="9">
        <f>J38-G38</f>
        <v>-10.826299999999947</v>
      </c>
      <c r="N38" s="9">
        <f>K38-H38</f>
        <v>0</v>
      </c>
      <c r="O38" s="9">
        <f>M38+N38</f>
        <v>-10.826299999999947</v>
      </c>
      <c r="P38" s="6" t="s">
        <v>304</v>
      </c>
    </row>
    <row r="39" spans="1:17" ht="12" customHeight="1" x14ac:dyDescent="0.25"/>
    <row r="40" spans="1:17" x14ac:dyDescent="0.25">
      <c r="A40" s="17" t="s">
        <v>34</v>
      </c>
      <c r="B40" s="23" t="s">
        <v>35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7" ht="11.25" customHeight="1" x14ac:dyDescent="0.25">
      <c r="P41" s="24" t="s">
        <v>16</v>
      </c>
    </row>
    <row r="42" spans="1:17" ht="43.5" customHeight="1" x14ac:dyDescent="0.25">
      <c r="A42" s="34" t="s">
        <v>25</v>
      </c>
      <c r="B42" s="34" t="s">
        <v>26</v>
      </c>
      <c r="C42" s="25" t="s">
        <v>36</v>
      </c>
      <c r="D42" s="25"/>
      <c r="E42" s="25"/>
      <c r="F42" s="25"/>
      <c r="G42" s="25"/>
      <c r="H42" s="34" t="s">
        <v>37</v>
      </c>
      <c r="I42" s="25" t="s">
        <v>38</v>
      </c>
      <c r="J42" s="25"/>
      <c r="K42" s="25" t="s">
        <v>28</v>
      </c>
      <c r="L42" s="25"/>
      <c r="M42" s="25" t="s">
        <v>39</v>
      </c>
      <c r="N42" s="25"/>
      <c r="O42" s="25" t="s">
        <v>22</v>
      </c>
      <c r="P42" s="25"/>
    </row>
    <row r="43" spans="1:17" s="4" customFormat="1" ht="8.25" customHeight="1" x14ac:dyDescent="0.25">
      <c r="A43" s="10">
        <v>1</v>
      </c>
      <c r="B43" s="10">
        <v>2</v>
      </c>
      <c r="C43" s="12">
        <v>3</v>
      </c>
      <c r="D43" s="12"/>
      <c r="E43" s="12"/>
      <c r="F43" s="12"/>
      <c r="G43" s="12"/>
      <c r="H43" s="10">
        <v>4</v>
      </c>
      <c r="I43" s="12">
        <v>5</v>
      </c>
      <c r="J43" s="12"/>
      <c r="K43" s="12">
        <v>6</v>
      </c>
      <c r="L43" s="12"/>
      <c r="M43" s="12">
        <v>7</v>
      </c>
      <c r="N43" s="12"/>
      <c r="O43" s="12">
        <v>8</v>
      </c>
      <c r="P43" s="12"/>
    </row>
    <row r="44" spans="1:17" s="36" customFormat="1" ht="15.75" customHeight="1" x14ac:dyDescent="0.25">
      <c r="A44" s="37"/>
      <c r="B44" s="37">
        <v>1011010</v>
      </c>
      <c r="C44" s="38" t="s">
        <v>82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0"/>
    </row>
    <row r="45" spans="1:17" s="36" customFormat="1" ht="16.5" customHeight="1" x14ac:dyDescent="0.25">
      <c r="A45" s="37">
        <v>1</v>
      </c>
      <c r="B45" s="37"/>
      <c r="C45" s="47" t="s">
        <v>56</v>
      </c>
      <c r="D45" s="47"/>
      <c r="E45" s="47"/>
      <c r="F45" s="47"/>
      <c r="G45" s="47"/>
      <c r="H45" s="29"/>
      <c r="I45" s="28"/>
      <c r="J45" s="28"/>
      <c r="K45" s="28"/>
      <c r="L45" s="28"/>
      <c r="M45" s="28"/>
      <c r="N45" s="28"/>
      <c r="O45" s="28"/>
      <c r="P45" s="28"/>
    </row>
    <row r="46" spans="1:17" s="36" customFormat="1" ht="70.5" customHeight="1" x14ac:dyDescent="0.25">
      <c r="A46" s="37"/>
      <c r="B46" s="37"/>
      <c r="C46" s="15" t="s">
        <v>83</v>
      </c>
      <c r="D46" s="15"/>
      <c r="E46" s="15"/>
      <c r="F46" s="15"/>
      <c r="G46" s="15"/>
      <c r="H46" s="29" t="s">
        <v>58</v>
      </c>
      <c r="I46" s="28" t="s">
        <v>297</v>
      </c>
      <c r="J46" s="28"/>
      <c r="K46" s="30">
        <f>I29</f>
        <v>598476.18300000008</v>
      </c>
      <c r="L46" s="28"/>
      <c r="M46" s="30">
        <f>L29</f>
        <v>595799.52352000005</v>
      </c>
      <c r="N46" s="28"/>
      <c r="O46" s="30">
        <f t="shared" ref="O46:O51" si="2">M46-K46</f>
        <v>-2676.6594800000312</v>
      </c>
      <c r="P46" s="28"/>
    </row>
    <row r="47" spans="1:17" s="36" customFormat="1" ht="60" customHeight="1" x14ac:dyDescent="0.25">
      <c r="A47" s="37"/>
      <c r="B47" s="37"/>
      <c r="C47" s="15" t="s">
        <v>84</v>
      </c>
      <c r="D47" s="15"/>
      <c r="E47" s="15"/>
      <c r="F47" s="15"/>
      <c r="G47" s="15"/>
      <c r="H47" s="29" t="s">
        <v>67</v>
      </c>
      <c r="I47" s="28" t="s">
        <v>235</v>
      </c>
      <c r="J47" s="28"/>
      <c r="K47" s="28">
        <v>151</v>
      </c>
      <c r="L47" s="28"/>
      <c r="M47" s="28">
        <v>152</v>
      </c>
      <c r="N47" s="28"/>
      <c r="O47" s="48">
        <f t="shared" si="2"/>
        <v>1</v>
      </c>
      <c r="P47" s="48"/>
      <c r="Q47" s="36">
        <f>464.35+3277.45</f>
        <v>3741.7999999999997</v>
      </c>
    </row>
    <row r="48" spans="1:17" s="36" customFormat="1" ht="57" customHeight="1" x14ac:dyDescent="0.25">
      <c r="A48" s="37"/>
      <c r="B48" s="37"/>
      <c r="C48" s="15" t="s">
        <v>85</v>
      </c>
      <c r="D48" s="15"/>
      <c r="E48" s="15"/>
      <c r="F48" s="15"/>
      <c r="G48" s="15"/>
      <c r="H48" s="29" t="s">
        <v>67</v>
      </c>
      <c r="I48" s="28" t="s">
        <v>236</v>
      </c>
      <c r="J48" s="28"/>
      <c r="K48" s="28">
        <v>1139</v>
      </c>
      <c r="L48" s="28"/>
      <c r="M48" s="49">
        <v>1143</v>
      </c>
      <c r="N48" s="49"/>
      <c r="O48" s="48">
        <f t="shared" si="2"/>
        <v>4</v>
      </c>
      <c r="P48" s="48"/>
    </row>
    <row r="49" spans="1:16" s="36" customFormat="1" ht="57" customHeight="1" x14ac:dyDescent="0.25">
      <c r="A49" s="37"/>
      <c r="B49" s="37"/>
      <c r="C49" s="15" t="s">
        <v>86</v>
      </c>
      <c r="D49" s="15"/>
      <c r="E49" s="15"/>
      <c r="F49" s="15"/>
      <c r="G49" s="15"/>
      <c r="H49" s="29" t="s">
        <v>67</v>
      </c>
      <c r="I49" s="28" t="s">
        <v>281</v>
      </c>
      <c r="J49" s="28"/>
      <c r="K49" s="28">
        <v>3280.52</v>
      </c>
      <c r="L49" s="28"/>
      <c r="M49" s="50">
        <f>((2*3272.53)+2483.85+818.31)/3</f>
        <v>3282.4066666666663</v>
      </c>
      <c r="N49" s="50"/>
      <c r="O49" s="51">
        <f t="shared" si="2"/>
        <v>1.886666666666315</v>
      </c>
      <c r="P49" s="51"/>
    </row>
    <row r="50" spans="1:16" s="36" customFormat="1" ht="59.25" customHeight="1" x14ac:dyDescent="0.25">
      <c r="A50" s="37"/>
      <c r="B50" s="37"/>
      <c r="C50" s="15" t="s">
        <v>87</v>
      </c>
      <c r="D50" s="15"/>
      <c r="E50" s="15"/>
      <c r="F50" s="15"/>
      <c r="G50" s="15"/>
      <c r="H50" s="29" t="s">
        <v>67</v>
      </c>
      <c r="I50" s="28" t="s">
        <v>281</v>
      </c>
      <c r="J50" s="28"/>
      <c r="K50" s="28">
        <v>3750.15</v>
      </c>
      <c r="L50" s="28"/>
      <c r="M50" s="50">
        <f>((2*3741.8)+471.325+3306.64)/3</f>
        <v>3753.855</v>
      </c>
      <c r="N50" s="50"/>
      <c r="O50" s="51">
        <f t="shared" si="2"/>
        <v>3.7049999999999272</v>
      </c>
      <c r="P50" s="51"/>
    </row>
    <row r="51" spans="1:16" s="36" customFormat="1" ht="58.5" customHeight="1" x14ac:dyDescent="0.25">
      <c r="A51" s="37"/>
      <c r="B51" s="37"/>
      <c r="C51" s="15" t="s">
        <v>88</v>
      </c>
      <c r="D51" s="15"/>
      <c r="E51" s="15"/>
      <c r="F51" s="15"/>
      <c r="G51" s="15"/>
      <c r="H51" s="29" t="s">
        <v>67</v>
      </c>
      <c r="I51" s="28" t="s">
        <v>281</v>
      </c>
      <c r="J51" s="28"/>
      <c r="K51" s="28">
        <f>K50+K49</f>
        <v>7030.67</v>
      </c>
      <c r="L51" s="28"/>
      <c r="M51" s="50">
        <f>M49+M50</f>
        <v>7036.2616666666663</v>
      </c>
      <c r="N51" s="28"/>
      <c r="O51" s="51">
        <f t="shared" si="2"/>
        <v>5.5916666666662422</v>
      </c>
      <c r="P51" s="51"/>
    </row>
    <row r="52" spans="1:16" s="36" customFormat="1" ht="16.5" customHeight="1" x14ac:dyDescent="0.25">
      <c r="A52" s="38" t="s">
        <v>233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/>
    </row>
    <row r="53" spans="1:16" s="36" customFormat="1" ht="43.5" customHeight="1" x14ac:dyDescent="0.25">
      <c r="A53" s="52" t="s">
        <v>309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  <row r="54" spans="1:16" s="36" customFormat="1" ht="16.5" customHeight="1" x14ac:dyDescent="0.25">
      <c r="A54" s="37">
        <v>2</v>
      </c>
      <c r="B54" s="37"/>
      <c r="C54" s="47" t="s">
        <v>64</v>
      </c>
      <c r="D54" s="47"/>
      <c r="E54" s="47"/>
      <c r="F54" s="47"/>
      <c r="G54" s="47"/>
      <c r="H54" s="29"/>
      <c r="I54" s="28"/>
      <c r="J54" s="28"/>
      <c r="K54" s="28"/>
      <c r="L54" s="28"/>
      <c r="M54" s="28"/>
      <c r="N54" s="28"/>
      <c r="O54" s="28"/>
      <c r="P54" s="28"/>
    </row>
    <row r="55" spans="1:16" s="36" customFormat="1" ht="16.5" customHeight="1" x14ac:dyDescent="0.25">
      <c r="A55" s="37"/>
      <c r="B55" s="37"/>
      <c r="C55" s="15" t="s">
        <v>90</v>
      </c>
      <c r="D55" s="15"/>
      <c r="E55" s="15"/>
      <c r="F55" s="15"/>
      <c r="G55" s="15"/>
      <c r="H55" s="29" t="s">
        <v>92</v>
      </c>
      <c r="I55" s="28" t="s">
        <v>93</v>
      </c>
      <c r="J55" s="28"/>
      <c r="K55" s="28">
        <v>47622</v>
      </c>
      <c r="L55" s="28"/>
      <c r="M55" s="55">
        <v>47622</v>
      </c>
      <c r="N55" s="55"/>
      <c r="O55" s="55">
        <f>M55-K55</f>
        <v>0</v>
      </c>
      <c r="P55" s="55"/>
    </row>
    <row r="56" spans="1:16" s="36" customFormat="1" ht="58.5" customHeight="1" x14ac:dyDescent="0.25">
      <c r="A56" s="37"/>
      <c r="B56" s="37"/>
      <c r="C56" s="15" t="s">
        <v>91</v>
      </c>
      <c r="D56" s="15"/>
      <c r="E56" s="15"/>
      <c r="F56" s="15"/>
      <c r="G56" s="15"/>
      <c r="H56" s="29" t="s">
        <v>92</v>
      </c>
      <c r="I56" s="28" t="s">
        <v>236</v>
      </c>
      <c r="J56" s="28"/>
      <c r="K56" s="28">
        <v>24417</v>
      </c>
      <c r="L56" s="28"/>
      <c r="M56" s="49">
        <f>((2*24357)+24632)/3</f>
        <v>24448.666666666668</v>
      </c>
      <c r="N56" s="49"/>
      <c r="O56" s="55">
        <f>M56-K56</f>
        <v>31.666666666667879</v>
      </c>
      <c r="P56" s="55"/>
    </row>
    <row r="57" spans="1:16" s="36" customFormat="1" ht="15" customHeight="1" x14ac:dyDescent="0.25">
      <c r="A57" s="38" t="s">
        <v>233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0"/>
    </row>
    <row r="58" spans="1:16" s="36" customFormat="1" ht="16.5" customHeight="1" x14ac:dyDescent="0.25">
      <c r="A58" s="52" t="s">
        <v>234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</row>
    <row r="59" spans="1:16" s="36" customFormat="1" ht="16.5" customHeight="1" x14ac:dyDescent="0.25">
      <c r="A59" s="37">
        <v>3</v>
      </c>
      <c r="B59" s="37"/>
      <c r="C59" s="47" t="s">
        <v>68</v>
      </c>
      <c r="D59" s="47"/>
      <c r="E59" s="47"/>
      <c r="F59" s="47"/>
      <c r="G59" s="47"/>
      <c r="H59" s="29"/>
      <c r="I59" s="28"/>
      <c r="J59" s="28"/>
      <c r="K59" s="28"/>
      <c r="L59" s="28"/>
      <c r="M59" s="28"/>
      <c r="N59" s="28"/>
      <c r="O59" s="28"/>
      <c r="P59" s="28"/>
    </row>
    <row r="60" spans="1:16" s="36" customFormat="1" ht="16.5" customHeight="1" x14ac:dyDescent="0.25">
      <c r="A60" s="37"/>
      <c r="B60" s="37"/>
      <c r="C60" s="15" t="s">
        <v>94</v>
      </c>
      <c r="D60" s="15"/>
      <c r="E60" s="15"/>
      <c r="F60" s="15"/>
      <c r="G60" s="15"/>
      <c r="H60" s="29" t="s">
        <v>96</v>
      </c>
      <c r="I60" s="28" t="s">
        <v>72</v>
      </c>
      <c r="J60" s="28"/>
      <c r="K60" s="55">
        <f>K46/K56*1000</f>
        <v>24510.635336036372</v>
      </c>
      <c r="L60" s="55"/>
      <c r="M60" s="55">
        <f>M46/K56*1000</f>
        <v>24401.01255354876</v>
      </c>
      <c r="N60" s="55"/>
      <c r="O60" s="55">
        <f>M60-K60</f>
        <v>-109.6227824876114</v>
      </c>
      <c r="P60" s="28"/>
    </row>
    <row r="61" spans="1:16" s="36" customFormat="1" ht="55.5" customHeight="1" x14ac:dyDescent="0.25">
      <c r="A61" s="37"/>
      <c r="B61" s="37"/>
      <c r="C61" s="15" t="s">
        <v>95</v>
      </c>
      <c r="D61" s="15"/>
      <c r="E61" s="15"/>
      <c r="F61" s="15"/>
      <c r="G61" s="15"/>
      <c r="H61" s="29" t="s">
        <v>97</v>
      </c>
      <c r="I61" s="28" t="s">
        <v>255</v>
      </c>
      <c r="J61" s="28"/>
      <c r="K61" s="28">
        <f>K56*162+46</f>
        <v>3955600</v>
      </c>
      <c r="L61" s="28"/>
      <c r="M61" s="28">
        <v>3799763</v>
      </c>
      <c r="N61" s="28"/>
      <c r="O61" s="55">
        <f>M61-K61</f>
        <v>-155837</v>
      </c>
      <c r="P61" s="28"/>
    </row>
    <row r="62" spans="1:16" s="36" customFormat="1" ht="19.5" customHeight="1" x14ac:dyDescent="0.25">
      <c r="A62" s="38" t="s">
        <v>233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40"/>
    </row>
    <row r="63" spans="1:16" s="36" customFormat="1" ht="30" customHeight="1" x14ac:dyDescent="0.25">
      <c r="A63" s="52" t="s">
        <v>254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  <row r="64" spans="1:16" s="36" customFormat="1" ht="16.5" customHeight="1" x14ac:dyDescent="0.25">
      <c r="A64" s="37">
        <v>4</v>
      </c>
      <c r="B64" s="37"/>
      <c r="C64" s="47" t="s">
        <v>74</v>
      </c>
      <c r="D64" s="47"/>
      <c r="E64" s="47"/>
      <c r="F64" s="47"/>
      <c r="G64" s="47"/>
      <c r="H64" s="29"/>
      <c r="I64" s="28"/>
      <c r="J64" s="28"/>
      <c r="K64" s="28"/>
      <c r="L64" s="28"/>
      <c r="M64" s="28"/>
      <c r="N64" s="28"/>
      <c r="O64" s="28"/>
      <c r="P64" s="28"/>
    </row>
    <row r="65" spans="1:16" s="36" customFormat="1" ht="17.25" customHeight="1" x14ac:dyDescent="0.25">
      <c r="A65" s="37"/>
      <c r="B65" s="37"/>
      <c r="C65" s="15" t="s">
        <v>98</v>
      </c>
      <c r="D65" s="15"/>
      <c r="E65" s="15"/>
      <c r="F65" s="15"/>
      <c r="G65" s="15"/>
      <c r="H65" s="29" t="s">
        <v>77</v>
      </c>
      <c r="I65" s="28" t="s">
        <v>72</v>
      </c>
      <c r="J65" s="28"/>
      <c r="K65" s="55">
        <f>K56/K55*100</f>
        <v>51.272521103691574</v>
      </c>
      <c r="L65" s="55"/>
      <c r="M65" s="55">
        <f>M56/M55*100</f>
        <v>51.339016980947186</v>
      </c>
      <c r="N65" s="55"/>
      <c r="O65" s="55">
        <f>M65-K65</f>
        <v>6.6495877255611902E-2</v>
      </c>
      <c r="P65" s="55"/>
    </row>
    <row r="66" spans="1:16" s="36" customFormat="1" ht="16.5" customHeight="1" x14ac:dyDescent="0.25">
      <c r="A66" s="37"/>
      <c r="B66" s="37"/>
      <c r="C66" s="15" t="s">
        <v>99</v>
      </c>
      <c r="D66" s="15"/>
      <c r="E66" s="15"/>
      <c r="F66" s="15"/>
      <c r="G66" s="15"/>
      <c r="H66" s="29" t="s">
        <v>100</v>
      </c>
      <c r="I66" s="28" t="s">
        <v>72</v>
      </c>
      <c r="J66" s="28"/>
      <c r="K66" s="55">
        <f>K61/K56</f>
        <v>162.00188393332513</v>
      </c>
      <c r="L66" s="55"/>
      <c r="M66" s="55">
        <f>M61/M56</f>
        <v>155.41800507185121</v>
      </c>
      <c r="N66" s="55"/>
      <c r="O66" s="55">
        <f>M66-K66</f>
        <v>-6.5838788614739201</v>
      </c>
      <c r="P66" s="55"/>
    </row>
    <row r="67" spans="1:16" s="36" customFormat="1" ht="18.75" customHeight="1" x14ac:dyDescent="0.25">
      <c r="A67" s="38" t="s">
        <v>233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40"/>
    </row>
    <row r="68" spans="1:16" s="36" customFormat="1" ht="16.5" customHeight="1" x14ac:dyDescent="0.25">
      <c r="A68" s="52" t="s">
        <v>253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  <row r="69" spans="1:16" s="36" customFormat="1" ht="16.5" customHeight="1" x14ac:dyDescent="0.25">
      <c r="A69" s="47" t="s">
        <v>240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spans="1:16" s="36" customFormat="1" ht="30.75" customHeight="1" x14ac:dyDescent="0.25">
      <c r="A70" s="52" t="s">
        <v>282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  <row r="71" spans="1:16" ht="17.25" customHeight="1" x14ac:dyDescent="0.25">
      <c r="A71" s="37"/>
      <c r="B71" s="37">
        <v>1011010</v>
      </c>
      <c r="C71" s="38" t="s">
        <v>101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0"/>
    </row>
    <row r="72" spans="1:16" x14ac:dyDescent="0.25">
      <c r="A72" s="37">
        <v>1</v>
      </c>
      <c r="B72" s="37"/>
      <c r="C72" s="56" t="s">
        <v>56</v>
      </c>
      <c r="D72" s="56"/>
      <c r="E72" s="56"/>
      <c r="F72" s="56"/>
      <c r="G72" s="56"/>
      <c r="H72" s="57"/>
      <c r="I72" s="58"/>
      <c r="J72" s="58"/>
      <c r="K72" s="58"/>
      <c r="L72" s="58"/>
      <c r="M72" s="58"/>
      <c r="N72" s="58"/>
      <c r="O72" s="58"/>
      <c r="P72" s="58"/>
    </row>
    <row r="73" spans="1:16" ht="76.5" customHeight="1" x14ac:dyDescent="0.25">
      <c r="A73" s="37"/>
      <c r="B73" s="37"/>
      <c r="C73" s="15" t="s">
        <v>57</v>
      </c>
      <c r="D73" s="15"/>
      <c r="E73" s="15"/>
      <c r="F73" s="15"/>
      <c r="G73" s="15"/>
      <c r="H73" s="29" t="s">
        <v>58</v>
      </c>
      <c r="I73" s="28" t="s">
        <v>297</v>
      </c>
      <c r="J73" s="28"/>
      <c r="K73" s="30">
        <f>K74+K75+K76</f>
        <v>5831.7870000000003</v>
      </c>
      <c r="L73" s="30"/>
      <c r="M73" s="30">
        <f>M74+M75+M76</f>
        <v>5539.3257999999996</v>
      </c>
      <c r="N73" s="30"/>
      <c r="O73" s="30">
        <f>M73-K73</f>
        <v>-292.46120000000064</v>
      </c>
      <c r="P73" s="30"/>
    </row>
    <row r="74" spans="1:16" ht="28.5" customHeight="1" x14ac:dyDescent="0.25">
      <c r="A74" s="37"/>
      <c r="B74" s="37"/>
      <c r="C74" s="15" t="s">
        <v>59</v>
      </c>
      <c r="D74" s="15"/>
      <c r="E74" s="15"/>
      <c r="F74" s="15"/>
      <c r="G74" s="15"/>
      <c r="H74" s="29" t="s">
        <v>58</v>
      </c>
      <c r="I74" s="28" t="s">
        <v>310</v>
      </c>
      <c r="J74" s="28"/>
      <c r="K74" s="30">
        <f>(2122550)/1000</f>
        <v>2122.5500000000002</v>
      </c>
      <c r="L74" s="30"/>
      <c r="M74" s="30">
        <f>(2181303.42-112000+20000+20000+767146+80000)/1000</f>
        <v>2956.4494199999999</v>
      </c>
      <c r="N74" s="30"/>
      <c r="O74" s="30">
        <f>M74-K74</f>
        <v>833.89941999999974</v>
      </c>
      <c r="P74" s="30"/>
    </row>
    <row r="75" spans="1:16" ht="33" customHeight="1" x14ac:dyDescent="0.25">
      <c r="A75" s="37"/>
      <c r="B75" s="37"/>
      <c r="C75" s="15" t="s">
        <v>60</v>
      </c>
      <c r="D75" s="15"/>
      <c r="E75" s="15"/>
      <c r="F75" s="15"/>
      <c r="G75" s="15"/>
      <c r="H75" s="29" t="s">
        <v>58</v>
      </c>
      <c r="I75" s="28" t="s">
        <v>310</v>
      </c>
      <c r="J75" s="28"/>
      <c r="K75" s="30">
        <f>112000/1000</f>
        <v>112</v>
      </c>
      <c r="L75" s="30"/>
      <c r="M75" s="30">
        <f>32000/1000</f>
        <v>32</v>
      </c>
      <c r="N75" s="30"/>
      <c r="O75" s="30">
        <f>M75-K75</f>
        <v>-80</v>
      </c>
      <c r="P75" s="30"/>
    </row>
    <row r="76" spans="1:16" ht="32.25" customHeight="1" x14ac:dyDescent="0.25">
      <c r="A76" s="37"/>
      <c r="B76" s="37"/>
      <c r="C76" s="15" t="s">
        <v>61</v>
      </c>
      <c r="D76" s="15"/>
      <c r="E76" s="15"/>
      <c r="F76" s="15"/>
      <c r="G76" s="15"/>
      <c r="H76" s="29" t="s">
        <v>58</v>
      </c>
      <c r="I76" s="28" t="s">
        <v>310</v>
      </c>
      <c r="J76" s="28"/>
      <c r="K76" s="30">
        <f>3597237/1000</f>
        <v>3597.2370000000001</v>
      </c>
      <c r="L76" s="30"/>
      <c r="M76" s="30">
        <f>2550876.38/1000</f>
        <v>2550.8763799999997</v>
      </c>
      <c r="N76" s="30"/>
      <c r="O76" s="30">
        <f>M76-K76</f>
        <v>-1046.3606200000004</v>
      </c>
      <c r="P76" s="30"/>
    </row>
    <row r="77" spans="1:16" ht="17.25" customHeight="1" x14ac:dyDescent="0.25">
      <c r="A77" s="38" t="s">
        <v>233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0"/>
    </row>
    <row r="78" spans="1:16" ht="63.75" customHeight="1" x14ac:dyDescent="0.25">
      <c r="A78" s="52" t="s">
        <v>311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  <row r="79" spans="1:16" x14ac:dyDescent="0.25">
      <c r="A79" s="37">
        <v>2</v>
      </c>
      <c r="B79" s="37"/>
      <c r="C79" s="47" t="s">
        <v>64</v>
      </c>
      <c r="D79" s="47"/>
      <c r="E79" s="47"/>
      <c r="F79" s="47"/>
      <c r="G79" s="47"/>
      <c r="H79" s="29"/>
      <c r="I79" s="28"/>
      <c r="J79" s="28"/>
      <c r="K79" s="30"/>
      <c r="L79" s="30"/>
      <c r="M79" s="30"/>
      <c r="N79" s="30"/>
      <c r="O79" s="30"/>
      <c r="P79" s="30"/>
    </row>
    <row r="80" spans="1:16" ht="45.75" customHeight="1" x14ac:dyDescent="0.25">
      <c r="A80" s="37"/>
      <c r="B80" s="37"/>
      <c r="C80" s="15" t="s">
        <v>63</v>
      </c>
      <c r="D80" s="15"/>
      <c r="E80" s="15"/>
      <c r="F80" s="15"/>
      <c r="G80" s="15"/>
      <c r="H80" s="29" t="s">
        <v>67</v>
      </c>
      <c r="I80" s="28" t="s">
        <v>237</v>
      </c>
      <c r="J80" s="28"/>
      <c r="K80" s="48">
        <v>113</v>
      </c>
      <c r="L80" s="48"/>
      <c r="M80" s="48">
        <v>113</v>
      </c>
      <c r="N80" s="48"/>
      <c r="O80" s="48">
        <f>M80-K80</f>
        <v>0</v>
      </c>
      <c r="P80" s="48"/>
    </row>
    <row r="81" spans="1:16" ht="48" customHeight="1" x14ac:dyDescent="0.25">
      <c r="A81" s="37"/>
      <c r="B81" s="37"/>
      <c r="C81" s="15" t="s">
        <v>65</v>
      </c>
      <c r="D81" s="15"/>
      <c r="E81" s="15"/>
      <c r="F81" s="15"/>
      <c r="G81" s="15"/>
      <c r="H81" s="29" t="s">
        <v>67</v>
      </c>
      <c r="I81" s="28" t="s">
        <v>237</v>
      </c>
      <c r="J81" s="28"/>
      <c r="K81" s="48">
        <v>14</v>
      </c>
      <c r="L81" s="48"/>
      <c r="M81" s="48">
        <v>4</v>
      </c>
      <c r="N81" s="48"/>
      <c r="O81" s="48">
        <f>M81-K81</f>
        <v>-10</v>
      </c>
      <c r="P81" s="48"/>
    </row>
    <row r="82" spans="1:16" ht="46.5" customHeight="1" x14ac:dyDescent="0.25">
      <c r="A82" s="37"/>
      <c r="B82" s="37"/>
      <c r="C82" s="15" t="s">
        <v>66</v>
      </c>
      <c r="D82" s="15"/>
      <c r="E82" s="15"/>
      <c r="F82" s="15"/>
      <c r="G82" s="15"/>
      <c r="H82" s="29" t="s">
        <v>67</v>
      </c>
      <c r="I82" s="28" t="s">
        <v>238</v>
      </c>
      <c r="J82" s="28"/>
      <c r="K82" s="48">
        <v>7</v>
      </c>
      <c r="L82" s="48"/>
      <c r="M82" s="48">
        <v>5</v>
      </c>
      <c r="N82" s="48"/>
      <c r="O82" s="48">
        <f>M82-K82</f>
        <v>-2</v>
      </c>
      <c r="P82" s="48"/>
    </row>
    <row r="83" spans="1:16" ht="18" customHeight="1" x14ac:dyDescent="0.25">
      <c r="A83" s="38" t="s">
        <v>233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40"/>
    </row>
    <row r="84" spans="1:16" ht="30" customHeight="1" x14ac:dyDescent="0.25">
      <c r="A84" s="52" t="s">
        <v>241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</row>
    <row r="85" spans="1:16" x14ac:dyDescent="0.25">
      <c r="A85" s="37">
        <v>3</v>
      </c>
      <c r="B85" s="37"/>
      <c r="C85" s="47" t="s">
        <v>68</v>
      </c>
      <c r="D85" s="47"/>
      <c r="E85" s="47"/>
      <c r="F85" s="47"/>
      <c r="G85" s="47"/>
      <c r="H85" s="29"/>
      <c r="I85" s="28"/>
      <c r="J85" s="28"/>
      <c r="K85" s="30"/>
      <c r="L85" s="30"/>
      <c r="M85" s="30"/>
      <c r="N85" s="30"/>
      <c r="O85" s="30"/>
      <c r="P85" s="30"/>
    </row>
    <row r="86" spans="1:16" ht="32.25" customHeight="1" x14ac:dyDescent="0.25">
      <c r="A86" s="37"/>
      <c r="B86" s="37"/>
      <c r="C86" s="15" t="s">
        <v>69</v>
      </c>
      <c r="D86" s="15"/>
      <c r="E86" s="15"/>
      <c r="F86" s="15"/>
      <c r="G86" s="15"/>
      <c r="H86" s="29" t="s">
        <v>58</v>
      </c>
      <c r="I86" s="28" t="s">
        <v>72</v>
      </c>
      <c r="J86" s="28"/>
      <c r="K86" s="30">
        <f>K74/K80</f>
        <v>18.783628318584071</v>
      </c>
      <c r="L86" s="30"/>
      <c r="M86" s="30">
        <f>M74/M80</f>
        <v>26.163269203539823</v>
      </c>
      <c r="N86" s="30"/>
      <c r="O86" s="30" t="s">
        <v>73</v>
      </c>
      <c r="P86" s="30"/>
    </row>
    <row r="87" spans="1:16" ht="28.5" customHeight="1" x14ac:dyDescent="0.25">
      <c r="A87" s="37"/>
      <c r="B87" s="37"/>
      <c r="C87" s="15" t="s">
        <v>70</v>
      </c>
      <c r="D87" s="15"/>
      <c r="E87" s="15"/>
      <c r="F87" s="15"/>
      <c r="G87" s="15"/>
      <c r="H87" s="29" t="s">
        <v>58</v>
      </c>
      <c r="I87" s="28" t="s">
        <v>72</v>
      </c>
      <c r="J87" s="28"/>
      <c r="K87" s="30">
        <f>K75/K81</f>
        <v>8</v>
      </c>
      <c r="L87" s="30"/>
      <c r="M87" s="30">
        <f>M75/M81</f>
        <v>8</v>
      </c>
      <c r="N87" s="30"/>
      <c r="O87" s="30" t="s">
        <v>73</v>
      </c>
      <c r="P87" s="30"/>
    </row>
    <row r="88" spans="1:16" ht="18" customHeight="1" x14ac:dyDescent="0.25">
      <c r="A88" s="37"/>
      <c r="B88" s="37"/>
      <c r="C88" s="15" t="s">
        <v>71</v>
      </c>
      <c r="D88" s="15"/>
      <c r="E88" s="15"/>
      <c r="F88" s="15"/>
      <c r="G88" s="15"/>
      <c r="H88" s="29" t="s">
        <v>58</v>
      </c>
      <c r="I88" s="28" t="s">
        <v>72</v>
      </c>
      <c r="J88" s="28"/>
      <c r="K88" s="30">
        <f>K76/K82</f>
        <v>513.89099999999996</v>
      </c>
      <c r="L88" s="30"/>
      <c r="M88" s="30">
        <f>M76/M82</f>
        <v>510.17527599999994</v>
      </c>
      <c r="N88" s="30"/>
      <c r="O88" s="30" t="s">
        <v>73</v>
      </c>
      <c r="P88" s="30"/>
    </row>
    <row r="89" spans="1:16" x14ac:dyDescent="0.25">
      <c r="A89" s="37">
        <v>4</v>
      </c>
      <c r="B89" s="37"/>
      <c r="C89" s="47" t="s">
        <v>74</v>
      </c>
      <c r="D89" s="47"/>
      <c r="E89" s="47"/>
      <c r="F89" s="47"/>
      <c r="G89" s="47"/>
      <c r="H89" s="29"/>
      <c r="I89" s="28"/>
      <c r="J89" s="28"/>
      <c r="K89" s="30"/>
      <c r="L89" s="30"/>
      <c r="M89" s="30"/>
      <c r="N89" s="30"/>
      <c r="O89" s="30"/>
      <c r="P89" s="30"/>
    </row>
    <row r="90" spans="1:16" ht="29.25" customHeight="1" x14ac:dyDescent="0.25">
      <c r="A90" s="37"/>
      <c r="B90" s="37"/>
      <c r="C90" s="15" t="s">
        <v>75</v>
      </c>
      <c r="D90" s="15"/>
      <c r="E90" s="15"/>
      <c r="F90" s="15"/>
      <c r="G90" s="15"/>
      <c r="H90" s="29" t="s">
        <v>77</v>
      </c>
      <c r="I90" s="28" t="s">
        <v>72</v>
      </c>
      <c r="J90" s="28"/>
      <c r="K90" s="48">
        <v>100</v>
      </c>
      <c r="L90" s="48"/>
      <c r="M90" s="48">
        <v>100</v>
      </c>
      <c r="N90" s="48"/>
      <c r="O90" s="48">
        <f>M90-K90</f>
        <v>0</v>
      </c>
      <c r="P90" s="48"/>
    </row>
    <row r="91" spans="1:16" ht="28.5" customHeight="1" x14ac:dyDescent="0.25">
      <c r="A91" s="37"/>
      <c r="B91" s="37"/>
      <c r="C91" s="15" t="s">
        <v>76</v>
      </c>
      <c r="D91" s="15"/>
      <c r="E91" s="15"/>
      <c r="F91" s="15"/>
      <c r="G91" s="15"/>
      <c r="H91" s="29" t="s">
        <v>77</v>
      </c>
      <c r="I91" s="28" t="s">
        <v>72</v>
      </c>
      <c r="J91" s="28"/>
      <c r="K91" s="48">
        <v>100</v>
      </c>
      <c r="L91" s="48"/>
      <c r="M91" s="48">
        <f>M76/K76*100</f>
        <v>70.912102260707314</v>
      </c>
      <c r="N91" s="48"/>
      <c r="O91" s="48">
        <f>M91-K91</f>
        <v>-29.087897739292686</v>
      </c>
      <c r="P91" s="48"/>
    </row>
    <row r="92" spans="1:16" ht="16.5" customHeight="1" x14ac:dyDescent="0.25">
      <c r="A92" s="38" t="s">
        <v>233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40"/>
    </row>
    <row r="93" spans="1:16" ht="18.75" customHeight="1" x14ac:dyDescent="0.25">
      <c r="A93" s="52" t="s">
        <v>243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40"/>
    </row>
    <row r="94" spans="1:16" ht="18.75" customHeight="1" x14ac:dyDescent="0.25">
      <c r="A94" s="47" t="s">
        <v>240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</row>
    <row r="95" spans="1:16" ht="46.5" customHeight="1" x14ac:dyDescent="0.25">
      <c r="A95" s="15" t="s">
        <v>283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1:16" ht="13.5" customHeight="1" x14ac:dyDescent="0.25">
      <c r="A96" s="17" t="s">
        <v>239</v>
      </c>
      <c r="H96" s="36"/>
    </row>
    <row r="97" spans="1:16" x14ac:dyDescent="0.25">
      <c r="A97" s="17" t="s">
        <v>40</v>
      </c>
      <c r="B97" s="23" t="s">
        <v>305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1:16" ht="12" customHeight="1" x14ac:dyDescent="0.25">
      <c r="P98" s="24" t="s">
        <v>16</v>
      </c>
    </row>
    <row r="99" spans="1:16" ht="47.25" customHeight="1" x14ac:dyDescent="0.25">
      <c r="A99" s="59" t="s">
        <v>41</v>
      </c>
      <c r="B99" s="60" t="s">
        <v>42</v>
      </c>
      <c r="C99" s="61"/>
      <c r="D99" s="59" t="s">
        <v>26</v>
      </c>
      <c r="E99" s="25" t="s">
        <v>43</v>
      </c>
      <c r="F99" s="25"/>
      <c r="G99" s="25"/>
      <c r="H99" s="25" t="s">
        <v>44</v>
      </c>
      <c r="I99" s="25"/>
      <c r="J99" s="25"/>
      <c r="K99" s="25" t="s">
        <v>45</v>
      </c>
      <c r="L99" s="25"/>
      <c r="M99" s="25"/>
      <c r="N99" s="25" t="s">
        <v>46</v>
      </c>
      <c r="O99" s="25"/>
      <c r="P99" s="25"/>
    </row>
    <row r="100" spans="1:16" ht="30" x14ac:dyDescent="0.25">
      <c r="A100" s="62"/>
      <c r="B100" s="63"/>
      <c r="C100" s="64"/>
      <c r="D100" s="62"/>
      <c r="E100" s="34" t="s">
        <v>19</v>
      </c>
      <c r="F100" s="34" t="s">
        <v>20</v>
      </c>
      <c r="G100" s="34" t="s">
        <v>21</v>
      </c>
      <c r="H100" s="34" t="s">
        <v>19</v>
      </c>
      <c r="I100" s="34" t="s">
        <v>20</v>
      </c>
      <c r="J100" s="34" t="s">
        <v>21</v>
      </c>
      <c r="K100" s="34" t="s">
        <v>19</v>
      </c>
      <c r="L100" s="34" t="s">
        <v>20</v>
      </c>
      <c r="M100" s="34" t="s">
        <v>21</v>
      </c>
      <c r="N100" s="34" t="s">
        <v>19</v>
      </c>
      <c r="O100" s="34" t="s">
        <v>20</v>
      </c>
      <c r="P100" s="34" t="s">
        <v>21</v>
      </c>
    </row>
    <row r="101" spans="1:16" s="4" customFormat="1" ht="8.25" customHeight="1" x14ac:dyDescent="0.25">
      <c r="A101" s="10">
        <v>1</v>
      </c>
      <c r="B101" s="12">
        <v>2</v>
      </c>
      <c r="C101" s="12"/>
      <c r="D101" s="10">
        <v>3</v>
      </c>
      <c r="E101" s="10">
        <v>4</v>
      </c>
      <c r="F101" s="10">
        <v>5</v>
      </c>
      <c r="G101" s="10">
        <v>6</v>
      </c>
      <c r="H101" s="10">
        <v>7</v>
      </c>
      <c r="I101" s="10">
        <v>8</v>
      </c>
      <c r="J101" s="10">
        <v>9</v>
      </c>
      <c r="K101" s="10">
        <v>10</v>
      </c>
      <c r="L101" s="10">
        <v>11</v>
      </c>
      <c r="M101" s="10">
        <v>12</v>
      </c>
      <c r="N101" s="10">
        <v>13</v>
      </c>
      <c r="O101" s="10">
        <v>14</v>
      </c>
      <c r="P101" s="10">
        <v>15</v>
      </c>
    </row>
    <row r="102" spans="1:16" x14ac:dyDescent="0.25">
      <c r="A102" s="57"/>
      <c r="B102" s="67"/>
      <c r="C102" s="68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</row>
    <row r="103" spans="1:16" ht="5.25" customHeight="1" x14ac:dyDescent="0.25"/>
    <row r="104" spans="1:16" ht="12" customHeight="1" x14ac:dyDescent="0.25">
      <c r="A104" s="23" t="s">
        <v>306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1:16" ht="10.5" customHeight="1" x14ac:dyDescent="0.25">
      <c r="A105" s="23" t="s">
        <v>307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1:16" ht="11.25" customHeight="1" x14ac:dyDescent="0.25">
      <c r="A106" s="23" t="s">
        <v>308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12" spans="1:16" x14ac:dyDescent="0.25">
      <c r="A112" s="65" t="s">
        <v>47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5" t="s">
        <v>48</v>
      </c>
      <c r="N112" s="66"/>
      <c r="O112" s="66"/>
    </row>
    <row r="116" spans="1:13" x14ac:dyDescent="0.25">
      <c r="A116" s="65" t="s">
        <v>329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 t="s">
        <v>330</v>
      </c>
    </row>
  </sheetData>
  <mergeCells count="262">
    <mergeCell ref="A69:P69"/>
    <mergeCell ref="A70:P70"/>
    <mergeCell ref="B102:C102"/>
    <mergeCell ref="A94:P94"/>
    <mergeCell ref="A95:P95"/>
    <mergeCell ref="O45:P45"/>
    <mergeCell ref="O46:P46"/>
    <mergeCell ref="O47:P47"/>
    <mergeCell ref="O48:P48"/>
    <mergeCell ref="O49:P49"/>
    <mergeCell ref="O50:P50"/>
    <mergeCell ref="O51:P51"/>
    <mergeCell ref="O54:P54"/>
    <mergeCell ref="K45:L45"/>
    <mergeCell ref="K46:L46"/>
    <mergeCell ref="K47:L47"/>
    <mergeCell ref="K48:L48"/>
    <mergeCell ref="K49:L49"/>
    <mergeCell ref="K50:L50"/>
    <mergeCell ref="K51:L51"/>
    <mergeCell ref="K54:L54"/>
    <mergeCell ref="A52:P52"/>
    <mergeCell ref="A53:P53"/>
    <mergeCell ref="K60:L60"/>
    <mergeCell ref="K61:L61"/>
    <mergeCell ref="K64:L64"/>
    <mergeCell ref="K65:L65"/>
    <mergeCell ref="K66:L66"/>
    <mergeCell ref="I59:J59"/>
    <mergeCell ref="I60:J60"/>
    <mergeCell ref="I61:J61"/>
    <mergeCell ref="I64:J64"/>
    <mergeCell ref="I65:J65"/>
    <mergeCell ref="I66:J66"/>
    <mergeCell ref="A62:P62"/>
    <mergeCell ref="A63:P63"/>
    <mergeCell ref="A106:P106"/>
    <mergeCell ref="C71:P71"/>
    <mergeCell ref="A99:A100"/>
    <mergeCell ref="D99:D100"/>
    <mergeCell ref="B99:C100"/>
    <mergeCell ref="A104:P104"/>
    <mergeCell ref="A105:P105"/>
    <mergeCell ref="B101:C101"/>
    <mergeCell ref="B97:P97"/>
    <mergeCell ref="N99:P99"/>
    <mergeCell ref="K99:M99"/>
    <mergeCell ref="H99:J99"/>
    <mergeCell ref="E99:G99"/>
    <mergeCell ref="O86:P86"/>
    <mergeCell ref="O87:P87"/>
    <mergeCell ref="O88:P88"/>
    <mergeCell ref="O89:P89"/>
    <mergeCell ref="O90:P90"/>
    <mergeCell ref="O91:P91"/>
    <mergeCell ref="O76:P76"/>
    <mergeCell ref="O79:P79"/>
    <mergeCell ref="O80:P80"/>
    <mergeCell ref="O81:P81"/>
    <mergeCell ref="O82:P82"/>
    <mergeCell ref="M90:N90"/>
    <mergeCell ref="M91:N91"/>
    <mergeCell ref="M81:N81"/>
    <mergeCell ref="M82:N82"/>
    <mergeCell ref="M85:N85"/>
    <mergeCell ref="M86:N86"/>
    <mergeCell ref="M87:N87"/>
    <mergeCell ref="M88:N88"/>
    <mergeCell ref="M43:N43"/>
    <mergeCell ref="M72:N72"/>
    <mergeCell ref="M73:N73"/>
    <mergeCell ref="M74:N74"/>
    <mergeCell ref="M75:N75"/>
    <mergeCell ref="M76:N76"/>
    <mergeCell ref="M79:N79"/>
    <mergeCell ref="M80:N80"/>
    <mergeCell ref="M45:N45"/>
    <mergeCell ref="M46:N46"/>
    <mergeCell ref="M47:N47"/>
    <mergeCell ref="M48:N48"/>
    <mergeCell ref="M49:N49"/>
    <mergeCell ref="M50:N50"/>
    <mergeCell ref="M51:N51"/>
    <mergeCell ref="M56:N56"/>
    <mergeCell ref="O85:P85"/>
    <mergeCell ref="O43:P43"/>
    <mergeCell ref="O72:P72"/>
    <mergeCell ref="O73:P73"/>
    <mergeCell ref="O74:P74"/>
    <mergeCell ref="O75:P75"/>
    <mergeCell ref="M89:N89"/>
    <mergeCell ref="M54:N54"/>
    <mergeCell ref="M55:N55"/>
    <mergeCell ref="O55:P55"/>
    <mergeCell ref="O56:P56"/>
    <mergeCell ref="O59:P59"/>
    <mergeCell ref="O60:P60"/>
    <mergeCell ref="O61:P61"/>
    <mergeCell ref="O64:P64"/>
    <mergeCell ref="O65:P65"/>
    <mergeCell ref="O66:P66"/>
    <mergeCell ref="M59:N59"/>
    <mergeCell ref="M60:N60"/>
    <mergeCell ref="M61:N61"/>
    <mergeCell ref="M64:N64"/>
    <mergeCell ref="M65:N65"/>
    <mergeCell ref="M66:N66"/>
    <mergeCell ref="C44:P44"/>
    <mergeCell ref="K87:L87"/>
    <mergeCell ref="K88:L88"/>
    <mergeCell ref="K89:L89"/>
    <mergeCell ref="K90:L90"/>
    <mergeCell ref="I89:J89"/>
    <mergeCell ref="I90:J90"/>
    <mergeCell ref="I91:J91"/>
    <mergeCell ref="I81:J81"/>
    <mergeCell ref="I82:J82"/>
    <mergeCell ref="I85:J85"/>
    <mergeCell ref="I86:J86"/>
    <mergeCell ref="I87:J87"/>
    <mergeCell ref="I88:J88"/>
    <mergeCell ref="K82:L82"/>
    <mergeCell ref="K85:L85"/>
    <mergeCell ref="K91:L91"/>
    <mergeCell ref="C91:G91"/>
    <mergeCell ref="C76:G76"/>
    <mergeCell ref="C79:G79"/>
    <mergeCell ref="C80:G80"/>
    <mergeCell ref="C81:G81"/>
    <mergeCell ref="C82:G82"/>
    <mergeCell ref="C85:G85"/>
    <mergeCell ref="I76:J76"/>
    <mergeCell ref="I79:J79"/>
    <mergeCell ref="I80:J80"/>
    <mergeCell ref="A77:P77"/>
    <mergeCell ref="A78:P78"/>
    <mergeCell ref="A83:P83"/>
    <mergeCell ref="A84:P84"/>
    <mergeCell ref="K76:L76"/>
    <mergeCell ref="K79:L79"/>
    <mergeCell ref="K80:L80"/>
    <mergeCell ref="K81:L81"/>
    <mergeCell ref="C86:G86"/>
    <mergeCell ref="C87:G87"/>
    <mergeCell ref="C88:G88"/>
    <mergeCell ref="C89:G89"/>
    <mergeCell ref="C90:G90"/>
    <mergeCell ref="K86:L86"/>
    <mergeCell ref="C75:G75"/>
    <mergeCell ref="B40:P40"/>
    <mergeCell ref="C42:G42"/>
    <mergeCell ref="I42:J42"/>
    <mergeCell ref="K42:L42"/>
    <mergeCell ref="M42:N42"/>
    <mergeCell ref="O42:P42"/>
    <mergeCell ref="C54:G54"/>
    <mergeCell ref="C55:G55"/>
    <mergeCell ref="C56:G56"/>
    <mergeCell ref="C59:G59"/>
    <mergeCell ref="C60:G60"/>
    <mergeCell ref="C61:G61"/>
    <mergeCell ref="C64:G64"/>
    <mergeCell ref="C65:G65"/>
    <mergeCell ref="C66:G66"/>
    <mergeCell ref="K43:L43"/>
    <mergeCell ref="K72:L72"/>
    <mergeCell ref="K73:L73"/>
    <mergeCell ref="K74:L74"/>
    <mergeCell ref="I75:J75"/>
    <mergeCell ref="K75:L75"/>
    <mergeCell ref="K55:L55"/>
    <mergeCell ref="K56:L56"/>
    <mergeCell ref="I47:J47"/>
    <mergeCell ref="I48:J48"/>
    <mergeCell ref="I49:J49"/>
    <mergeCell ref="I50:J50"/>
    <mergeCell ref="I51:J51"/>
    <mergeCell ref="I54:J54"/>
    <mergeCell ref="I55:J55"/>
    <mergeCell ref="I56:J56"/>
    <mergeCell ref="K59:L59"/>
    <mergeCell ref="C10:P10"/>
    <mergeCell ref="C11:P11"/>
    <mergeCell ref="C12:P12"/>
    <mergeCell ref="G34:I34"/>
    <mergeCell ref="J34:L34"/>
    <mergeCell ref="M34:O34"/>
    <mergeCell ref="A34:F35"/>
    <mergeCell ref="D28:F28"/>
    <mergeCell ref="A18:F18"/>
    <mergeCell ref="G18:L18"/>
    <mergeCell ref="M18:P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B32:P32"/>
    <mergeCell ref="P34:P35"/>
    <mergeCell ref="I20:J20"/>
    <mergeCell ref="K20:L20"/>
    <mergeCell ref="A19:B19"/>
    <mergeCell ref="C19:D19"/>
    <mergeCell ref="G19:H19"/>
    <mergeCell ref="I19:J19"/>
    <mergeCell ref="K19:L19"/>
    <mergeCell ref="C13:P13"/>
    <mergeCell ref="D14:P14"/>
    <mergeCell ref="D15:P15"/>
    <mergeCell ref="B16:P16"/>
    <mergeCell ref="Q25:S25"/>
    <mergeCell ref="T25:V25"/>
    <mergeCell ref="G25:I25"/>
    <mergeCell ref="J25:L25"/>
    <mergeCell ref="M25:O25"/>
    <mergeCell ref="A92:P92"/>
    <mergeCell ref="A93:P93"/>
    <mergeCell ref="A57:P57"/>
    <mergeCell ref="A58:P58"/>
    <mergeCell ref="A67:P67"/>
    <mergeCell ref="A68:P68"/>
    <mergeCell ref="A38:F38"/>
    <mergeCell ref="A36:F36"/>
    <mergeCell ref="A37:F37"/>
    <mergeCell ref="C43:G43"/>
    <mergeCell ref="C72:G72"/>
    <mergeCell ref="C73:G73"/>
    <mergeCell ref="C74:G74"/>
    <mergeCell ref="I43:J43"/>
    <mergeCell ref="I72:J72"/>
    <mergeCell ref="I73:J73"/>
    <mergeCell ref="I74:J74"/>
    <mergeCell ref="I45:J45"/>
    <mergeCell ref="I46:J46"/>
    <mergeCell ref="A6:P6"/>
    <mergeCell ref="C45:G45"/>
    <mergeCell ref="C46:G46"/>
    <mergeCell ref="C47:G47"/>
    <mergeCell ref="C48:G48"/>
    <mergeCell ref="C49:G49"/>
    <mergeCell ref="C50:G50"/>
    <mergeCell ref="C51:G51"/>
    <mergeCell ref="A7:P7"/>
    <mergeCell ref="A8:P8"/>
    <mergeCell ref="D29:F29"/>
    <mergeCell ref="D30:F30"/>
    <mergeCell ref="A25:A26"/>
    <mergeCell ref="B25:B26"/>
    <mergeCell ref="C25:C26"/>
    <mergeCell ref="D25:F26"/>
    <mergeCell ref="P25:P26"/>
    <mergeCell ref="D27:F27"/>
    <mergeCell ref="B23:P23"/>
    <mergeCell ref="E19:F19"/>
    <mergeCell ref="M19:N19"/>
    <mergeCell ref="C20:D20"/>
    <mergeCell ref="E20:F20"/>
    <mergeCell ref="G20:H20"/>
  </mergeCells>
  <pageMargins left="0.19685039370078741" right="0.19685039370078741" top="0.39370078740157483" bottom="0.19685039370078741" header="0.11811023622047245" footer="0.11811023622047245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76"/>
  <sheetViews>
    <sheetView view="pageBreakPreview" topLeftCell="A41" zoomScale="70" zoomScaleSheetLayoutView="70" workbookViewId="0">
      <selection activeCell="I43" sqref="I43:J43"/>
    </sheetView>
  </sheetViews>
  <sheetFormatPr defaultRowHeight="16.5" customHeight="1" x14ac:dyDescent="0.25"/>
  <cols>
    <col min="1" max="1" width="5" style="17" customWidth="1"/>
    <col min="2" max="2" width="10.28515625" style="17" customWidth="1"/>
    <col min="3" max="3" width="9.140625" style="17" customWidth="1"/>
    <col min="4" max="4" width="7.140625" style="17" customWidth="1"/>
    <col min="5" max="5" width="7.85546875" style="17" customWidth="1"/>
    <col min="6" max="6" width="8.85546875" style="17" customWidth="1"/>
    <col min="7" max="8" width="14.42578125" style="17" customWidth="1"/>
    <col min="9" max="9" width="30.7109375" style="17" customWidth="1"/>
    <col min="10" max="10" width="27.5703125" style="17" customWidth="1"/>
    <col min="11" max="11" width="15.7109375" style="17" customWidth="1"/>
    <col min="12" max="12" width="14" style="17" customWidth="1"/>
    <col min="13" max="13" width="14.5703125" style="17" customWidth="1"/>
    <col min="14" max="14" width="13.42578125" style="17" customWidth="1"/>
    <col min="15" max="15" width="18" style="17" customWidth="1"/>
    <col min="16" max="16" width="38" style="17" customWidth="1"/>
    <col min="17" max="16384" width="9.140625" style="17"/>
  </cols>
  <sheetData>
    <row r="1" spans="1:16" ht="16.5" customHeight="1" x14ac:dyDescent="0.25">
      <c r="P1" s="5" t="s">
        <v>0</v>
      </c>
    </row>
    <row r="2" spans="1:16" ht="16.5" customHeight="1" x14ac:dyDescent="0.25">
      <c r="P2" s="5" t="s">
        <v>1</v>
      </c>
    </row>
    <row r="3" spans="1:16" ht="16.5" customHeight="1" x14ac:dyDescent="0.25">
      <c r="P3" s="5" t="s">
        <v>2</v>
      </c>
    </row>
    <row r="6" spans="1:16" ht="16.5" customHeight="1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16.5" customHeight="1" x14ac:dyDescent="0.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6.5" customHeight="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10" spans="1:16" ht="16.5" customHeight="1" x14ac:dyDescent="0.25">
      <c r="A10" s="19" t="s">
        <v>6</v>
      </c>
      <c r="B10" s="20">
        <v>1000000</v>
      </c>
      <c r="C10" s="21" t="s">
        <v>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6.5" customHeight="1" x14ac:dyDescent="0.25">
      <c r="B11" s="1" t="s">
        <v>7</v>
      </c>
      <c r="C11" s="13" t="s">
        <v>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6.5" customHeight="1" x14ac:dyDescent="0.25">
      <c r="A12" s="19" t="s">
        <v>9</v>
      </c>
      <c r="B12" s="20">
        <v>1010000</v>
      </c>
      <c r="C12" s="21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6.5" customHeight="1" x14ac:dyDescent="0.25">
      <c r="B13" s="1" t="s">
        <v>7</v>
      </c>
      <c r="C13" s="13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6.5" customHeight="1" x14ac:dyDescent="0.25">
      <c r="A14" s="19" t="s">
        <v>11</v>
      </c>
      <c r="B14" s="20">
        <v>1011210</v>
      </c>
      <c r="C14" s="22" t="s">
        <v>148</v>
      </c>
      <c r="D14" s="21" t="s">
        <v>177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6.5" customHeight="1" x14ac:dyDescent="0.25">
      <c r="B15" s="1" t="s">
        <v>7</v>
      </c>
      <c r="C15" s="1" t="s">
        <v>12</v>
      </c>
      <c r="D15" s="14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6.5" customHeight="1" x14ac:dyDescent="0.25">
      <c r="A16" s="19" t="s">
        <v>14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22" ht="16.5" customHeight="1" x14ac:dyDescent="0.25">
      <c r="P17" s="2" t="s">
        <v>16</v>
      </c>
    </row>
    <row r="18" spans="1:22" ht="18" customHeight="1" x14ac:dyDescent="0.25">
      <c r="A18" s="25" t="s">
        <v>17</v>
      </c>
      <c r="B18" s="25"/>
      <c r="C18" s="25"/>
      <c r="D18" s="25"/>
      <c r="E18" s="25"/>
      <c r="F18" s="25"/>
      <c r="G18" s="25" t="s">
        <v>18</v>
      </c>
      <c r="H18" s="25"/>
      <c r="I18" s="25"/>
      <c r="J18" s="25"/>
      <c r="K18" s="25"/>
      <c r="L18" s="25"/>
      <c r="M18" s="25" t="s">
        <v>22</v>
      </c>
      <c r="N18" s="25"/>
      <c r="O18" s="25"/>
      <c r="P18" s="25"/>
    </row>
    <row r="19" spans="1:22" ht="31.5" customHeight="1" x14ac:dyDescent="0.25">
      <c r="A19" s="26" t="s">
        <v>19</v>
      </c>
      <c r="B19" s="26"/>
      <c r="C19" s="26" t="s">
        <v>20</v>
      </c>
      <c r="D19" s="26"/>
      <c r="E19" s="26" t="s">
        <v>21</v>
      </c>
      <c r="F19" s="26"/>
      <c r="G19" s="26" t="s">
        <v>19</v>
      </c>
      <c r="H19" s="26"/>
      <c r="I19" s="26" t="s">
        <v>20</v>
      </c>
      <c r="J19" s="26"/>
      <c r="K19" s="26" t="s">
        <v>21</v>
      </c>
      <c r="L19" s="26"/>
      <c r="M19" s="26" t="s">
        <v>19</v>
      </c>
      <c r="N19" s="26"/>
      <c r="O19" s="27" t="s">
        <v>20</v>
      </c>
      <c r="P19" s="27" t="s">
        <v>21</v>
      </c>
    </row>
    <row r="20" spans="1:22" s="3" customFormat="1" ht="9" customHeight="1" x14ac:dyDescent="0.2">
      <c r="A20" s="12">
        <v>1</v>
      </c>
      <c r="B20" s="12"/>
      <c r="C20" s="12">
        <v>2</v>
      </c>
      <c r="D20" s="12"/>
      <c r="E20" s="12">
        <v>3</v>
      </c>
      <c r="F20" s="12"/>
      <c r="G20" s="12">
        <v>4</v>
      </c>
      <c r="H20" s="12"/>
      <c r="I20" s="12">
        <v>5</v>
      </c>
      <c r="J20" s="12"/>
      <c r="K20" s="12">
        <v>6</v>
      </c>
      <c r="L20" s="12"/>
      <c r="M20" s="12">
        <v>7</v>
      </c>
      <c r="N20" s="12"/>
      <c r="O20" s="10">
        <v>8</v>
      </c>
      <c r="P20" s="10">
        <v>9</v>
      </c>
    </row>
    <row r="21" spans="1:22" ht="16.5" customHeight="1" x14ac:dyDescent="0.25">
      <c r="A21" s="70">
        <f>2722643/1000</f>
        <v>2722.643</v>
      </c>
      <c r="B21" s="70"/>
      <c r="C21" s="70">
        <f>150444/1000</f>
        <v>150.44399999999999</v>
      </c>
      <c r="D21" s="70"/>
      <c r="E21" s="70">
        <f>A21+C21</f>
        <v>2873.087</v>
      </c>
      <c r="F21" s="70"/>
      <c r="G21" s="70">
        <f>2667350.86/1000</f>
        <v>2667.35086</v>
      </c>
      <c r="H21" s="70"/>
      <c r="I21" s="70">
        <f>62161.88/1000</f>
        <v>62.161879999999996</v>
      </c>
      <c r="J21" s="70"/>
      <c r="K21" s="70">
        <f>G21+I21</f>
        <v>2729.5127400000001</v>
      </c>
      <c r="L21" s="70"/>
      <c r="M21" s="70">
        <f>G21-A21</f>
        <v>-55.292140000000018</v>
      </c>
      <c r="N21" s="70"/>
      <c r="O21" s="71">
        <f>I21-C21</f>
        <v>-88.282119999999992</v>
      </c>
      <c r="P21" s="72">
        <f>M21+O21</f>
        <v>-143.57426000000001</v>
      </c>
    </row>
    <row r="22" spans="1:22" ht="9" customHeight="1" x14ac:dyDescent="0.25"/>
    <row r="23" spans="1:22" ht="16.5" customHeight="1" x14ac:dyDescent="0.25">
      <c r="A23" s="19" t="s">
        <v>23</v>
      </c>
      <c r="B23" s="23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22" ht="11.25" customHeight="1" x14ac:dyDescent="0.25">
      <c r="P24" s="2" t="s">
        <v>16</v>
      </c>
    </row>
    <row r="25" spans="1:22" ht="30" customHeight="1" x14ac:dyDescent="0.25">
      <c r="A25" s="25" t="s">
        <v>25</v>
      </c>
      <c r="B25" s="25" t="s">
        <v>26</v>
      </c>
      <c r="C25" s="25" t="s">
        <v>27</v>
      </c>
      <c r="D25" s="25" t="s">
        <v>298</v>
      </c>
      <c r="E25" s="25"/>
      <c r="F25" s="25"/>
      <c r="G25" s="25" t="s">
        <v>28</v>
      </c>
      <c r="H25" s="25"/>
      <c r="I25" s="25"/>
      <c r="J25" s="25" t="s">
        <v>29</v>
      </c>
      <c r="K25" s="25"/>
      <c r="L25" s="25"/>
      <c r="M25" s="25" t="s">
        <v>22</v>
      </c>
      <c r="N25" s="25"/>
      <c r="O25" s="25"/>
      <c r="P25" s="32" t="s">
        <v>30</v>
      </c>
      <c r="Q25" s="33"/>
      <c r="R25" s="33"/>
      <c r="S25" s="33"/>
      <c r="T25" s="33"/>
      <c r="U25" s="33"/>
      <c r="V25" s="33"/>
    </row>
    <row r="26" spans="1:22" ht="30.75" customHeight="1" x14ac:dyDescent="0.25">
      <c r="A26" s="25"/>
      <c r="B26" s="25"/>
      <c r="C26" s="25"/>
      <c r="D26" s="25"/>
      <c r="E26" s="25"/>
      <c r="F26" s="25"/>
      <c r="G26" s="34" t="s">
        <v>19</v>
      </c>
      <c r="H26" s="34" t="s">
        <v>20</v>
      </c>
      <c r="I26" s="34" t="s">
        <v>21</v>
      </c>
      <c r="J26" s="34" t="s">
        <v>19</v>
      </c>
      <c r="K26" s="34" t="s">
        <v>20</v>
      </c>
      <c r="L26" s="34" t="s">
        <v>21</v>
      </c>
      <c r="M26" s="34" t="s">
        <v>19</v>
      </c>
      <c r="N26" s="34" t="s">
        <v>20</v>
      </c>
      <c r="O26" s="34" t="s">
        <v>21</v>
      </c>
      <c r="P26" s="32"/>
    </row>
    <row r="27" spans="1:22" s="4" customFormat="1" ht="11.25" customHeight="1" x14ac:dyDescent="0.25">
      <c r="A27" s="10">
        <v>1</v>
      </c>
      <c r="B27" s="10">
        <v>2</v>
      </c>
      <c r="C27" s="10">
        <v>3</v>
      </c>
      <c r="D27" s="12">
        <v>4</v>
      </c>
      <c r="E27" s="12"/>
      <c r="F27" s="12"/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1">
        <v>14</v>
      </c>
    </row>
    <row r="28" spans="1:22" ht="104.25" customHeight="1" x14ac:dyDescent="0.25">
      <c r="A28" s="29">
        <v>1</v>
      </c>
      <c r="B28" s="29">
        <v>1011210</v>
      </c>
      <c r="C28" s="74" t="s">
        <v>148</v>
      </c>
      <c r="D28" s="47" t="s">
        <v>357</v>
      </c>
      <c r="E28" s="15"/>
      <c r="F28" s="15"/>
      <c r="G28" s="9">
        <f>A21</f>
        <v>2722.643</v>
      </c>
      <c r="H28" s="9">
        <f>C21</f>
        <v>150.44399999999999</v>
      </c>
      <c r="I28" s="9">
        <f>G28+H28</f>
        <v>2873.087</v>
      </c>
      <c r="J28" s="9">
        <f>G21</f>
        <v>2667.35086</v>
      </c>
      <c r="K28" s="9">
        <f>I21</f>
        <v>62.161879999999996</v>
      </c>
      <c r="L28" s="9">
        <f>J28+K28</f>
        <v>2729.5127400000001</v>
      </c>
      <c r="M28" s="9">
        <f>J28-G28</f>
        <v>-55.292140000000018</v>
      </c>
      <c r="N28" s="9">
        <f>K28-H28</f>
        <v>-88.282119999999992</v>
      </c>
      <c r="O28" s="9">
        <f>M28+N28</f>
        <v>-143.57426000000001</v>
      </c>
      <c r="P28" s="107" t="s">
        <v>358</v>
      </c>
    </row>
    <row r="29" spans="1:22" ht="6.75" customHeight="1" x14ac:dyDescent="0.25">
      <c r="D29" s="46"/>
      <c r="E29" s="46"/>
      <c r="F29" s="46"/>
    </row>
    <row r="30" spans="1:22" ht="16.5" customHeight="1" x14ac:dyDescent="0.25">
      <c r="A30" s="17" t="s">
        <v>31</v>
      </c>
      <c r="B30" s="23" t="s">
        <v>32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22" ht="16.5" customHeight="1" x14ac:dyDescent="0.25">
      <c r="P31" s="2" t="s">
        <v>16</v>
      </c>
    </row>
    <row r="32" spans="1:22" ht="29.25" customHeight="1" x14ac:dyDescent="0.25">
      <c r="A32" s="25" t="s">
        <v>33</v>
      </c>
      <c r="B32" s="25"/>
      <c r="C32" s="25"/>
      <c r="D32" s="25"/>
      <c r="E32" s="25"/>
      <c r="F32" s="25"/>
      <c r="G32" s="25" t="s">
        <v>28</v>
      </c>
      <c r="H32" s="25"/>
      <c r="I32" s="25"/>
      <c r="J32" s="25" t="s">
        <v>29</v>
      </c>
      <c r="K32" s="25"/>
      <c r="L32" s="25"/>
      <c r="M32" s="25" t="s">
        <v>22</v>
      </c>
      <c r="N32" s="25"/>
      <c r="O32" s="25"/>
      <c r="P32" s="25" t="s">
        <v>30</v>
      </c>
    </row>
    <row r="33" spans="1:16" ht="32.25" customHeight="1" x14ac:dyDescent="0.25">
      <c r="A33" s="25"/>
      <c r="B33" s="25"/>
      <c r="C33" s="25"/>
      <c r="D33" s="25"/>
      <c r="E33" s="25"/>
      <c r="F33" s="25"/>
      <c r="G33" s="34" t="s">
        <v>19</v>
      </c>
      <c r="H33" s="34" t="s">
        <v>20</v>
      </c>
      <c r="I33" s="34" t="s">
        <v>21</v>
      </c>
      <c r="J33" s="34" t="s">
        <v>19</v>
      </c>
      <c r="K33" s="34" t="s">
        <v>20</v>
      </c>
      <c r="L33" s="34" t="s">
        <v>21</v>
      </c>
      <c r="M33" s="34" t="s">
        <v>19</v>
      </c>
      <c r="N33" s="34" t="s">
        <v>20</v>
      </c>
      <c r="O33" s="34" t="s">
        <v>21</v>
      </c>
      <c r="P33" s="25"/>
    </row>
    <row r="34" spans="1:16" s="4" customFormat="1" ht="9" customHeight="1" x14ac:dyDescent="0.25">
      <c r="A34" s="12">
        <v>1</v>
      </c>
      <c r="B34" s="12"/>
      <c r="C34" s="12"/>
      <c r="D34" s="12"/>
      <c r="E34" s="12"/>
      <c r="F34" s="12"/>
      <c r="G34" s="10">
        <v>2</v>
      </c>
      <c r="H34" s="10">
        <v>3</v>
      </c>
      <c r="I34" s="10">
        <v>4</v>
      </c>
      <c r="J34" s="10">
        <v>5</v>
      </c>
      <c r="K34" s="10">
        <v>6</v>
      </c>
      <c r="L34" s="10">
        <v>7</v>
      </c>
      <c r="M34" s="10">
        <v>8</v>
      </c>
      <c r="N34" s="10">
        <v>9</v>
      </c>
      <c r="O34" s="10">
        <v>10</v>
      </c>
      <c r="P34" s="10">
        <v>11</v>
      </c>
    </row>
    <row r="35" spans="1:16" ht="16.5" customHeight="1" x14ac:dyDescent="0.25">
      <c r="A35" s="80" t="s">
        <v>73</v>
      </c>
      <c r="B35" s="106"/>
      <c r="C35" s="106"/>
      <c r="D35" s="106"/>
      <c r="E35" s="106"/>
      <c r="F35" s="81"/>
      <c r="G35" s="9" t="s">
        <v>73</v>
      </c>
      <c r="H35" s="9" t="s">
        <v>73</v>
      </c>
      <c r="I35" s="9" t="s">
        <v>73</v>
      </c>
      <c r="J35" s="9" t="s">
        <v>73</v>
      </c>
      <c r="K35" s="9" t="s">
        <v>73</v>
      </c>
      <c r="L35" s="9" t="s">
        <v>73</v>
      </c>
      <c r="M35" s="9" t="s">
        <v>73</v>
      </c>
      <c r="N35" s="9" t="s">
        <v>73</v>
      </c>
      <c r="O35" s="9" t="s">
        <v>73</v>
      </c>
      <c r="P35" s="41" t="s">
        <v>73</v>
      </c>
    </row>
    <row r="36" spans="1:16" ht="9.75" customHeight="1" x14ac:dyDescent="0.25"/>
    <row r="37" spans="1:16" ht="16.5" customHeight="1" x14ac:dyDescent="0.25">
      <c r="A37" s="17" t="s">
        <v>34</v>
      </c>
      <c r="B37" s="23" t="s">
        <v>35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ht="13.5" customHeight="1" x14ac:dyDescent="0.25">
      <c r="P38" s="2" t="s">
        <v>16</v>
      </c>
    </row>
    <row r="39" spans="1:16" ht="43.5" customHeight="1" x14ac:dyDescent="0.25">
      <c r="A39" s="34" t="s">
        <v>25</v>
      </c>
      <c r="B39" s="34" t="s">
        <v>26</v>
      </c>
      <c r="C39" s="25" t="s">
        <v>36</v>
      </c>
      <c r="D39" s="25"/>
      <c r="E39" s="25"/>
      <c r="F39" s="25"/>
      <c r="G39" s="25"/>
      <c r="H39" s="34" t="s">
        <v>37</v>
      </c>
      <c r="I39" s="25" t="s">
        <v>38</v>
      </c>
      <c r="J39" s="25"/>
      <c r="K39" s="25" t="s">
        <v>28</v>
      </c>
      <c r="L39" s="25"/>
      <c r="M39" s="25" t="s">
        <v>39</v>
      </c>
      <c r="N39" s="25"/>
      <c r="O39" s="25" t="s">
        <v>22</v>
      </c>
      <c r="P39" s="25"/>
    </row>
    <row r="40" spans="1:16" s="4" customFormat="1" ht="13.5" customHeight="1" x14ac:dyDescent="0.25">
      <c r="A40" s="10">
        <v>1</v>
      </c>
      <c r="B40" s="10">
        <v>2</v>
      </c>
      <c r="C40" s="12">
        <v>3</v>
      </c>
      <c r="D40" s="12"/>
      <c r="E40" s="12"/>
      <c r="F40" s="12"/>
      <c r="G40" s="12"/>
      <c r="H40" s="10">
        <v>4</v>
      </c>
      <c r="I40" s="12">
        <v>5</v>
      </c>
      <c r="J40" s="12"/>
      <c r="K40" s="12">
        <v>6</v>
      </c>
      <c r="L40" s="12"/>
      <c r="M40" s="12">
        <v>7</v>
      </c>
      <c r="N40" s="12"/>
      <c r="O40" s="12">
        <v>8</v>
      </c>
      <c r="P40" s="12"/>
    </row>
    <row r="41" spans="1:16" s="36" customFormat="1" ht="24" customHeight="1" x14ac:dyDescent="0.25">
      <c r="A41" s="37"/>
      <c r="B41" s="37">
        <v>1011210</v>
      </c>
      <c r="C41" s="38" t="s">
        <v>178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</row>
    <row r="42" spans="1:16" s="36" customFormat="1" ht="16.5" customHeight="1" x14ac:dyDescent="0.25">
      <c r="A42" s="37">
        <v>1</v>
      </c>
      <c r="B42" s="37"/>
      <c r="C42" s="47" t="s">
        <v>56</v>
      </c>
      <c r="D42" s="47"/>
      <c r="E42" s="47"/>
      <c r="F42" s="47"/>
      <c r="G42" s="47"/>
      <c r="H42" s="29"/>
      <c r="I42" s="28"/>
      <c r="J42" s="28"/>
      <c r="K42" s="28"/>
      <c r="L42" s="28"/>
      <c r="M42" s="28"/>
      <c r="N42" s="28"/>
      <c r="O42" s="28"/>
      <c r="P42" s="28"/>
    </row>
    <row r="43" spans="1:16" s="36" customFormat="1" ht="60" customHeight="1" x14ac:dyDescent="0.25">
      <c r="A43" s="37"/>
      <c r="B43" s="37"/>
      <c r="C43" s="15" t="s">
        <v>83</v>
      </c>
      <c r="D43" s="15"/>
      <c r="E43" s="15"/>
      <c r="F43" s="15"/>
      <c r="G43" s="15"/>
      <c r="H43" s="29" t="s">
        <v>58</v>
      </c>
      <c r="I43" s="28" t="s">
        <v>297</v>
      </c>
      <c r="J43" s="28"/>
      <c r="K43" s="30">
        <f>E21</f>
        <v>2873.087</v>
      </c>
      <c r="L43" s="28"/>
      <c r="M43" s="30">
        <f>K21</f>
        <v>2729.5127400000001</v>
      </c>
      <c r="N43" s="28"/>
      <c r="O43" s="30">
        <f>M43-K43</f>
        <v>-143.57425999999987</v>
      </c>
      <c r="P43" s="28"/>
    </row>
    <row r="44" spans="1:16" s="36" customFormat="1" ht="42" customHeight="1" x14ac:dyDescent="0.25">
      <c r="A44" s="37"/>
      <c r="B44" s="37"/>
      <c r="C44" s="15" t="s">
        <v>125</v>
      </c>
      <c r="D44" s="15"/>
      <c r="E44" s="15"/>
      <c r="F44" s="15"/>
      <c r="G44" s="15"/>
      <c r="H44" s="29" t="s">
        <v>67</v>
      </c>
      <c r="I44" s="28" t="s">
        <v>89</v>
      </c>
      <c r="J44" s="28"/>
      <c r="K44" s="28">
        <v>1</v>
      </c>
      <c r="L44" s="28"/>
      <c r="M44" s="28">
        <v>1</v>
      </c>
      <c r="N44" s="28"/>
      <c r="O44" s="48">
        <f>K44-M44</f>
        <v>0</v>
      </c>
      <c r="P44" s="48"/>
    </row>
    <row r="45" spans="1:16" s="36" customFormat="1" ht="42" customHeight="1" x14ac:dyDescent="0.25">
      <c r="A45" s="37"/>
      <c r="B45" s="37"/>
      <c r="C45" s="52" t="s">
        <v>86</v>
      </c>
      <c r="D45" s="53"/>
      <c r="E45" s="53"/>
      <c r="F45" s="53"/>
      <c r="G45" s="54"/>
      <c r="H45" s="29" t="s">
        <v>67</v>
      </c>
      <c r="I45" s="28" t="s">
        <v>281</v>
      </c>
      <c r="J45" s="28"/>
      <c r="K45" s="93">
        <v>20</v>
      </c>
      <c r="L45" s="94"/>
      <c r="M45" s="93">
        <f>((2*K45)+4.57+11.75)/3</f>
        <v>18.773333333333333</v>
      </c>
      <c r="N45" s="94"/>
      <c r="O45" s="76">
        <f>M45-K45</f>
        <v>-1.2266666666666666</v>
      </c>
      <c r="P45" s="77"/>
    </row>
    <row r="46" spans="1:16" s="36" customFormat="1" ht="43.5" customHeight="1" x14ac:dyDescent="0.25">
      <c r="A46" s="37"/>
      <c r="B46" s="37"/>
      <c r="C46" s="52" t="s">
        <v>87</v>
      </c>
      <c r="D46" s="53"/>
      <c r="E46" s="53"/>
      <c r="F46" s="53"/>
      <c r="G46" s="54"/>
      <c r="H46" s="29" t="s">
        <v>67</v>
      </c>
      <c r="I46" s="28" t="s">
        <v>281</v>
      </c>
      <c r="J46" s="28"/>
      <c r="K46" s="80">
        <v>21.25</v>
      </c>
      <c r="L46" s="81"/>
      <c r="M46" s="93">
        <v>24.17</v>
      </c>
      <c r="N46" s="94"/>
      <c r="O46" s="76">
        <f>M46-K46</f>
        <v>2.9200000000000017</v>
      </c>
      <c r="P46" s="77"/>
    </row>
    <row r="47" spans="1:16" s="36" customFormat="1" ht="48.75" customHeight="1" x14ac:dyDescent="0.25">
      <c r="A47" s="37"/>
      <c r="B47" s="37"/>
      <c r="C47" s="15" t="s">
        <v>88</v>
      </c>
      <c r="D47" s="15"/>
      <c r="E47" s="15"/>
      <c r="F47" s="15"/>
      <c r="G47" s="15"/>
      <c r="H47" s="29" t="s">
        <v>67</v>
      </c>
      <c r="I47" s="28" t="s">
        <v>281</v>
      </c>
      <c r="J47" s="28"/>
      <c r="K47" s="28">
        <f>K45+K46</f>
        <v>41.25</v>
      </c>
      <c r="L47" s="28"/>
      <c r="M47" s="50">
        <f>M45+M46</f>
        <v>42.943333333333335</v>
      </c>
      <c r="N47" s="50"/>
      <c r="O47" s="76">
        <f>M47-K47</f>
        <v>1.6933333333333351</v>
      </c>
      <c r="P47" s="77"/>
    </row>
    <row r="48" spans="1:16" s="36" customFormat="1" ht="21.75" customHeight="1" x14ac:dyDescent="0.25">
      <c r="A48" s="38" t="s">
        <v>233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</row>
    <row r="49" spans="1:16" s="36" customFormat="1" ht="18" customHeight="1" x14ac:dyDescent="0.25">
      <c r="A49" s="52" t="s">
        <v>271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  <row r="50" spans="1:16" s="36" customFormat="1" ht="16.5" customHeight="1" x14ac:dyDescent="0.25">
      <c r="A50" s="37">
        <v>2</v>
      </c>
      <c r="B50" s="37"/>
      <c r="C50" s="47" t="s">
        <v>64</v>
      </c>
      <c r="D50" s="47"/>
      <c r="E50" s="47"/>
      <c r="F50" s="47"/>
      <c r="G50" s="47"/>
      <c r="H50" s="29"/>
      <c r="I50" s="28"/>
      <c r="J50" s="28"/>
      <c r="K50" s="28"/>
      <c r="L50" s="28"/>
      <c r="M50" s="28"/>
      <c r="N50" s="28"/>
      <c r="O50" s="28"/>
      <c r="P50" s="28"/>
    </row>
    <row r="51" spans="1:16" s="36" customFormat="1" ht="46.5" customHeight="1" x14ac:dyDescent="0.25">
      <c r="A51" s="37"/>
      <c r="B51" s="37"/>
      <c r="C51" s="15" t="s">
        <v>179</v>
      </c>
      <c r="D51" s="15"/>
      <c r="E51" s="15"/>
      <c r="F51" s="15"/>
      <c r="G51" s="15"/>
      <c r="H51" s="29" t="s">
        <v>92</v>
      </c>
      <c r="I51" s="80" t="s">
        <v>242</v>
      </c>
      <c r="J51" s="81"/>
      <c r="K51" s="28">
        <v>835</v>
      </c>
      <c r="L51" s="28"/>
      <c r="M51" s="49">
        <f>((2*835)+648)/3</f>
        <v>772.66666666666663</v>
      </c>
      <c r="N51" s="49"/>
      <c r="O51" s="48">
        <f>K51-M51</f>
        <v>62.333333333333371</v>
      </c>
      <c r="P51" s="48"/>
    </row>
    <row r="52" spans="1:16" s="36" customFormat="1" ht="16.5" customHeight="1" x14ac:dyDescent="0.25">
      <c r="A52" s="37">
        <v>3</v>
      </c>
      <c r="B52" s="37"/>
      <c r="C52" s="47" t="s">
        <v>68</v>
      </c>
      <c r="D52" s="47"/>
      <c r="E52" s="47"/>
      <c r="F52" s="47"/>
      <c r="G52" s="47"/>
      <c r="H52" s="29"/>
      <c r="I52" s="28"/>
      <c r="J52" s="28"/>
      <c r="K52" s="28"/>
      <c r="L52" s="28"/>
      <c r="M52" s="28"/>
      <c r="N52" s="28"/>
      <c r="O52" s="28"/>
      <c r="P52" s="28"/>
    </row>
    <row r="53" spans="1:16" s="36" customFormat="1" ht="34.5" customHeight="1" x14ac:dyDescent="0.25">
      <c r="A53" s="37"/>
      <c r="B53" s="37"/>
      <c r="C53" s="15" t="s">
        <v>180</v>
      </c>
      <c r="D53" s="15"/>
      <c r="E53" s="15"/>
      <c r="F53" s="15"/>
      <c r="G53" s="15"/>
      <c r="H53" s="29" t="s">
        <v>96</v>
      </c>
      <c r="I53" s="28" t="s">
        <v>72</v>
      </c>
      <c r="J53" s="28"/>
      <c r="K53" s="55">
        <f>K43/K51*1000</f>
        <v>3440.8227544910178</v>
      </c>
      <c r="L53" s="55"/>
      <c r="M53" s="55">
        <f>M43/M51*1000</f>
        <v>3532.5876704055222</v>
      </c>
      <c r="N53" s="55"/>
      <c r="O53" s="110">
        <f>K53-M53</f>
        <v>-91.7649159145044</v>
      </c>
      <c r="P53" s="110"/>
    </row>
    <row r="54" spans="1:16" s="36" customFormat="1" ht="16.5" customHeight="1" x14ac:dyDescent="0.25">
      <c r="A54" s="38" t="s">
        <v>233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0"/>
    </row>
    <row r="55" spans="1:16" s="36" customFormat="1" ht="29.25" customHeight="1" x14ac:dyDescent="0.25">
      <c r="A55" s="52" t="s">
        <v>272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  <row r="56" spans="1:16" s="36" customFormat="1" ht="16.5" customHeight="1" x14ac:dyDescent="0.25">
      <c r="A56" s="47" t="s">
        <v>240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spans="1:16" s="36" customFormat="1" ht="13.5" customHeight="1" x14ac:dyDescent="0.25">
      <c r="A57" s="52" t="s">
        <v>359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  <row r="58" spans="1:16" s="82" customFormat="1" ht="16.5" customHeight="1" x14ac:dyDescent="0.25">
      <c r="H58" s="83"/>
    </row>
    <row r="59" spans="1:16" ht="16.5" customHeight="1" x14ac:dyDescent="0.25">
      <c r="A59" s="17" t="s">
        <v>40</v>
      </c>
      <c r="B59" s="23" t="s">
        <v>305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6" ht="16.5" customHeight="1" x14ac:dyDescent="0.25">
      <c r="P60" s="2" t="s">
        <v>16</v>
      </c>
    </row>
    <row r="61" spans="1:16" ht="32.25" customHeight="1" x14ac:dyDescent="0.25">
      <c r="A61" s="59" t="s">
        <v>41</v>
      </c>
      <c r="B61" s="60" t="s">
        <v>42</v>
      </c>
      <c r="C61" s="61"/>
      <c r="D61" s="59" t="s">
        <v>26</v>
      </c>
      <c r="E61" s="25" t="s">
        <v>43</v>
      </c>
      <c r="F61" s="25"/>
      <c r="G61" s="25"/>
      <c r="H61" s="25" t="s">
        <v>44</v>
      </c>
      <c r="I61" s="25"/>
      <c r="J61" s="25"/>
      <c r="K61" s="25" t="s">
        <v>45</v>
      </c>
      <c r="L61" s="25"/>
      <c r="M61" s="25"/>
      <c r="N61" s="25" t="s">
        <v>46</v>
      </c>
      <c r="O61" s="25"/>
      <c r="P61" s="25"/>
    </row>
    <row r="62" spans="1:16" ht="42.75" customHeight="1" x14ac:dyDescent="0.25">
      <c r="A62" s="62"/>
      <c r="B62" s="63"/>
      <c r="C62" s="64"/>
      <c r="D62" s="62"/>
      <c r="E62" s="34" t="s">
        <v>19</v>
      </c>
      <c r="F62" s="34" t="s">
        <v>20</v>
      </c>
      <c r="G62" s="34" t="s">
        <v>21</v>
      </c>
      <c r="H62" s="34" t="s">
        <v>19</v>
      </c>
      <c r="I62" s="34" t="s">
        <v>20</v>
      </c>
      <c r="J62" s="34" t="s">
        <v>21</v>
      </c>
      <c r="K62" s="34" t="s">
        <v>19</v>
      </c>
      <c r="L62" s="34" t="s">
        <v>20</v>
      </c>
      <c r="M62" s="34" t="s">
        <v>21</v>
      </c>
      <c r="N62" s="34" t="s">
        <v>19</v>
      </c>
      <c r="O62" s="34" t="s">
        <v>20</v>
      </c>
      <c r="P62" s="34" t="s">
        <v>21</v>
      </c>
    </row>
    <row r="63" spans="1:16" s="4" customFormat="1" ht="11.25" customHeight="1" x14ac:dyDescent="0.25">
      <c r="A63" s="10">
        <v>1</v>
      </c>
      <c r="B63" s="12">
        <v>2</v>
      </c>
      <c r="C63" s="12"/>
      <c r="D63" s="10">
        <v>3</v>
      </c>
      <c r="E63" s="10">
        <v>4</v>
      </c>
      <c r="F63" s="10">
        <v>5</v>
      </c>
      <c r="G63" s="10">
        <v>6</v>
      </c>
      <c r="H63" s="10">
        <v>7</v>
      </c>
      <c r="I63" s="10">
        <v>8</v>
      </c>
      <c r="J63" s="10">
        <v>9</v>
      </c>
      <c r="K63" s="10">
        <v>10</v>
      </c>
      <c r="L63" s="10">
        <v>11</v>
      </c>
      <c r="M63" s="10">
        <v>12</v>
      </c>
      <c r="N63" s="10">
        <v>13</v>
      </c>
      <c r="O63" s="10">
        <v>14</v>
      </c>
      <c r="P63" s="10">
        <v>15</v>
      </c>
    </row>
    <row r="64" spans="1:16" ht="16.5" customHeight="1" x14ac:dyDescent="0.25">
      <c r="A64" s="57"/>
      <c r="B64" s="67"/>
      <c r="C64" s="68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</row>
    <row r="66" spans="1:16" ht="16.5" customHeight="1" x14ac:dyDescent="0.25">
      <c r="A66" s="23" t="s">
        <v>306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16.5" customHeight="1" x14ac:dyDescent="0.25">
      <c r="A67" s="23" t="s">
        <v>307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1:16" ht="16.5" customHeight="1" x14ac:dyDescent="0.25">
      <c r="A68" s="23" t="s">
        <v>308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1:16" ht="16.5" customHeigh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</row>
    <row r="70" spans="1:16" ht="36.75" customHeigh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  <row r="72" spans="1:16" ht="16.5" customHeight="1" x14ac:dyDescent="0.25">
      <c r="A72" s="65" t="s">
        <v>47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5" t="s">
        <v>48</v>
      </c>
      <c r="N72" s="66"/>
      <c r="O72" s="66"/>
    </row>
    <row r="73" spans="1:16" ht="16.5" customHeight="1" x14ac:dyDescent="0.25">
      <c r="A73" s="65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5"/>
      <c r="N73" s="66"/>
      <c r="O73" s="66"/>
    </row>
    <row r="74" spans="1:16" ht="32.25" customHeight="1" x14ac:dyDescent="0.25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5"/>
      <c r="N74" s="66"/>
      <c r="O74" s="66"/>
    </row>
    <row r="76" spans="1:16" ht="16.5" customHeight="1" x14ac:dyDescent="0.25">
      <c r="A76" s="65" t="str">
        <f>'1010'!A116</f>
        <v xml:space="preserve">Спеціаліст І категорії, бухгалтер управління освіти і науки 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 t="str">
        <f>'1010'!M116</f>
        <v>Ю.Філатова</v>
      </c>
    </row>
  </sheetData>
  <mergeCells count="136">
    <mergeCell ref="A54:P54"/>
    <mergeCell ref="A55:P55"/>
    <mergeCell ref="A56:P56"/>
    <mergeCell ref="A57:P57"/>
    <mergeCell ref="B64:C64"/>
    <mergeCell ref="B63:C63"/>
    <mergeCell ref="A66:P66"/>
    <mergeCell ref="C52:G52"/>
    <mergeCell ref="I52:J52"/>
    <mergeCell ref="K52:L52"/>
    <mergeCell ref="M52:N52"/>
    <mergeCell ref="O52:P52"/>
    <mergeCell ref="C53:G53"/>
    <mergeCell ref="I53:J53"/>
    <mergeCell ref="K53:L53"/>
    <mergeCell ref="M53:N53"/>
    <mergeCell ref="O53:P53"/>
    <mergeCell ref="A67:P67"/>
    <mergeCell ref="A68:P68"/>
    <mergeCell ref="B59:P59"/>
    <mergeCell ref="A61:A62"/>
    <mergeCell ref="B61:C62"/>
    <mergeCell ref="D61:D62"/>
    <mergeCell ref="E61:G61"/>
    <mergeCell ref="H61:J61"/>
    <mergeCell ref="K61:M61"/>
    <mergeCell ref="N61:P61"/>
    <mergeCell ref="C51:G51"/>
    <mergeCell ref="I51:J51"/>
    <mergeCell ref="K51:L51"/>
    <mergeCell ref="M51:N51"/>
    <mergeCell ref="O51:P51"/>
    <mergeCell ref="C46:G46"/>
    <mergeCell ref="I46:J46"/>
    <mergeCell ref="K46:L46"/>
    <mergeCell ref="M46:N46"/>
    <mergeCell ref="O46:P46"/>
    <mergeCell ref="C47:G47"/>
    <mergeCell ref="I47:J47"/>
    <mergeCell ref="K47:L47"/>
    <mergeCell ref="M47:N47"/>
    <mergeCell ref="O47:P47"/>
    <mergeCell ref="A48:P48"/>
    <mergeCell ref="A49:P49"/>
    <mergeCell ref="C50:G50"/>
    <mergeCell ref="I50:J50"/>
    <mergeCell ref="K50:L50"/>
    <mergeCell ref="M50:N50"/>
    <mergeCell ref="O50:P50"/>
    <mergeCell ref="C44:G44"/>
    <mergeCell ref="I44:J44"/>
    <mergeCell ref="K44:L44"/>
    <mergeCell ref="M44:N44"/>
    <mergeCell ref="O44:P44"/>
    <mergeCell ref="C45:G45"/>
    <mergeCell ref="I45:J45"/>
    <mergeCell ref="K45:L45"/>
    <mergeCell ref="M45:N45"/>
    <mergeCell ref="O45:P45"/>
    <mergeCell ref="C42:G42"/>
    <mergeCell ref="I42:J42"/>
    <mergeCell ref="K42:L42"/>
    <mergeCell ref="M42:N42"/>
    <mergeCell ref="O42:P42"/>
    <mergeCell ref="C43:G43"/>
    <mergeCell ref="I43:J43"/>
    <mergeCell ref="K43:L43"/>
    <mergeCell ref="M43:N43"/>
    <mergeCell ref="O43:P43"/>
    <mergeCell ref="C40:G40"/>
    <mergeCell ref="I40:J40"/>
    <mergeCell ref="K40:L40"/>
    <mergeCell ref="M40:N40"/>
    <mergeCell ref="O40:P40"/>
    <mergeCell ref="C41:P41"/>
    <mergeCell ref="A34:F34"/>
    <mergeCell ref="A35:F35"/>
    <mergeCell ref="B37:P37"/>
    <mergeCell ref="C39:G39"/>
    <mergeCell ref="I39:J39"/>
    <mergeCell ref="K39:L39"/>
    <mergeCell ref="M39:N39"/>
    <mergeCell ref="O39:P39"/>
    <mergeCell ref="Q25:S25"/>
    <mergeCell ref="T25:V25"/>
    <mergeCell ref="D27:F27"/>
    <mergeCell ref="D28:F28"/>
    <mergeCell ref="B30:P30"/>
    <mergeCell ref="A32:F33"/>
    <mergeCell ref="G32:I32"/>
    <mergeCell ref="J32:L32"/>
    <mergeCell ref="M32:O32"/>
    <mergeCell ref="P32:P33"/>
    <mergeCell ref="M21:N21"/>
    <mergeCell ref="B23:P23"/>
    <mergeCell ref="A25:A26"/>
    <mergeCell ref="B25:B26"/>
    <mergeCell ref="C25:C26"/>
    <mergeCell ref="D25:F26"/>
    <mergeCell ref="G25:I25"/>
    <mergeCell ref="J25:L25"/>
    <mergeCell ref="M25:O25"/>
    <mergeCell ref="P25:P26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C13:P13"/>
    <mergeCell ref="D14:P14"/>
    <mergeCell ref="D15:P15"/>
    <mergeCell ref="B16:P16"/>
    <mergeCell ref="A18:F18"/>
    <mergeCell ref="G18:L18"/>
    <mergeCell ref="M18:P18"/>
    <mergeCell ref="A6:P6"/>
    <mergeCell ref="A7:P7"/>
    <mergeCell ref="A8:P8"/>
    <mergeCell ref="C10:P10"/>
    <mergeCell ref="C11:P11"/>
    <mergeCell ref="C12:P12"/>
  </mergeCells>
  <pageMargins left="0.19685039370078741" right="0.19685039370078741" top="0.39370078740157483" bottom="0.19685039370078741" header="0.11811023622047245" footer="0.11811023622047245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70"/>
  <sheetViews>
    <sheetView view="pageBreakPreview" topLeftCell="A36" zoomScale="70" zoomScaleSheetLayoutView="70" workbookViewId="0">
      <selection activeCell="A51" sqref="A51:P51"/>
    </sheetView>
  </sheetViews>
  <sheetFormatPr defaultRowHeight="15" x14ac:dyDescent="0.25"/>
  <cols>
    <col min="1" max="1" width="5" style="17" customWidth="1"/>
    <col min="2" max="2" width="10.28515625" style="17" customWidth="1"/>
    <col min="3" max="3" width="9.140625" style="17" customWidth="1"/>
    <col min="4" max="4" width="7.140625" style="17" customWidth="1"/>
    <col min="5" max="5" width="7.85546875" style="17" customWidth="1"/>
    <col min="6" max="6" width="8.85546875" style="17" customWidth="1"/>
    <col min="7" max="8" width="14.42578125" style="17" customWidth="1"/>
    <col min="9" max="9" width="28.140625" style="17" customWidth="1"/>
    <col min="10" max="10" width="25.85546875" style="17" customWidth="1"/>
    <col min="11" max="11" width="21.5703125" style="17" customWidth="1"/>
    <col min="12" max="12" width="16.42578125" style="17" customWidth="1"/>
    <col min="13" max="13" width="17" style="17" customWidth="1"/>
    <col min="14" max="14" width="16.28515625" style="17" customWidth="1"/>
    <col min="15" max="15" width="18" style="17" customWidth="1"/>
    <col min="16" max="16" width="38" style="17" customWidth="1"/>
    <col min="17" max="16384" width="9.140625" style="17"/>
  </cols>
  <sheetData>
    <row r="1" spans="1:16" ht="14.25" customHeight="1" x14ac:dyDescent="0.25">
      <c r="P1" s="5" t="s">
        <v>0</v>
      </c>
    </row>
    <row r="2" spans="1:16" ht="13.5" customHeight="1" x14ac:dyDescent="0.25">
      <c r="P2" s="5" t="s">
        <v>1</v>
      </c>
    </row>
    <row r="3" spans="1:16" ht="12.75" customHeight="1" x14ac:dyDescent="0.25">
      <c r="P3" s="5" t="s">
        <v>2</v>
      </c>
    </row>
    <row r="6" spans="1:16" ht="15" customHeight="1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17.25" customHeight="1" x14ac:dyDescent="0.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5.75" customHeight="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1.25" customHeight="1" x14ac:dyDescent="0.25"/>
    <row r="10" spans="1:16" ht="15.75" customHeight="1" x14ac:dyDescent="0.25">
      <c r="A10" s="19" t="s">
        <v>6</v>
      </c>
      <c r="B10" s="20">
        <v>1000000</v>
      </c>
      <c r="C10" s="21" t="s">
        <v>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2.75" customHeight="1" x14ac:dyDescent="0.25">
      <c r="B11" s="1" t="s">
        <v>7</v>
      </c>
      <c r="C11" s="13" t="s">
        <v>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6.5" customHeight="1" x14ac:dyDescent="0.25">
      <c r="A12" s="19" t="s">
        <v>9</v>
      </c>
      <c r="B12" s="20">
        <v>1010000</v>
      </c>
      <c r="C12" s="21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9.75" customHeight="1" x14ac:dyDescent="0.25">
      <c r="B13" s="1" t="s">
        <v>7</v>
      </c>
      <c r="C13" s="13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7.25" customHeight="1" x14ac:dyDescent="0.25">
      <c r="A14" s="19" t="s">
        <v>11</v>
      </c>
      <c r="B14" s="20">
        <v>1011230</v>
      </c>
      <c r="C14" s="22" t="s">
        <v>148</v>
      </c>
      <c r="D14" s="21" t="s">
        <v>181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1.25" customHeight="1" x14ac:dyDescent="0.25">
      <c r="B15" s="1" t="s">
        <v>7</v>
      </c>
      <c r="C15" s="1" t="s">
        <v>12</v>
      </c>
      <c r="D15" s="14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8.75" customHeight="1" x14ac:dyDescent="0.25">
      <c r="A16" s="19" t="s">
        <v>14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22" ht="10.5" customHeight="1" x14ac:dyDescent="0.25">
      <c r="P17" s="2" t="s">
        <v>16</v>
      </c>
    </row>
    <row r="18" spans="1:22" ht="34.5" customHeight="1" x14ac:dyDescent="0.25">
      <c r="A18" s="25" t="s">
        <v>17</v>
      </c>
      <c r="B18" s="25"/>
      <c r="C18" s="25"/>
      <c r="D18" s="25"/>
      <c r="E18" s="25"/>
      <c r="F18" s="25"/>
      <c r="G18" s="25" t="s">
        <v>18</v>
      </c>
      <c r="H18" s="25"/>
      <c r="I18" s="25"/>
      <c r="J18" s="25"/>
      <c r="K18" s="25"/>
      <c r="L18" s="25"/>
      <c r="M18" s="25" t="s">
        <v>22</v>
      </c>
      <c r="N18" s="25"/>
      <c r="O18" s="25"/>
      <c r="P18" s="25"/>
    </row>
    <row r="19" spans="1:22" ht="24.75" customHeight="1" x14ac:dyDescent="0.25">
      <c r="A19" s="26" t="s">
        <v>19</v>
      </c>
      <c r="B19" s="26"/>
      <c r="C19" s="26" t="s">
        <v>20</v>
      </c>
      <c r="D19" s="26"/>
      <c r="E19" s="26" t="s">
        <v>21</v>
      </c>
      <c r="F19" s="26"/>
      <c r="G19" s="26" t="s">
        <v>19</v>
      </c>
      <c r="H19" s="26"/>
      <c r="I19" s="26" t="s">
        <v>20</v>
      </c>
      <c r="J19" s="26"/>
      <c r="K19" s="26" t="s">
        <v>21</v>
      </c>
      <c r="L19" s="26"/>
      <c r="M19" s="26" t="s">
        <v>19</v>
      </c>
      <c r="N19" s="26"/>
      <c r="O19" s="27" t="s">
        <v>20</v>
      </c>
      <c r="P19" s="27" t="s">
        <v>21</v>
      </c>
    </row>
    <row r="20" spans="1:22" s="3" customFormat="1" ht="9" customHeight="1" x14ac:dyDescent="0.2">
      <c r="A20" s="12">
        <v>1</v>
      </c>
      <c r="B20" s="12"/>
      <c r="C20" s="12">
        <v>2</v>
      </c>
      <c r="D20" s="12"/>
      <c r="E20" s="12">
        <v>3</v>
      </c>
      <c r="F20" s="12"/>
      <c r="G20" s="12">
        <v>4</v>
      </c>
      <c r="H20" s="12"/>
      <c r="I20" s="12">
        <v>5</v>
      </c>
      <c r="J20" s="12"/>
      <c r="K20" s="12">
        <v>6</v>
      </c>
      <c r="L20" s="12"/>
      <c r="M20" s="12">
        <v>7</v>
      </c>
      <c r="N20" s="12"/>
      <c r="O20" s="10">
        <v>8</v>
      </c>
      <c r="P20" s="10">
        <v>9</v>
      </c>
    </row>
    <row r="21" spans="1:22" ht="15" customHeight="1" x14ac:dyDescent="0.25">
      <c r="A21" s="70">
        <f>412680/1000</f>
        <v>412.68</v>
      </c>
      <c r="B21" s="70"/>
      <c r="C21" s="70">
        <v>0</v>
      </c>
      <c r="D21" s="70"/>
      <c r="E21" s="70">
        <f>A21+C21</f>
        <v>412.68</v>
      </c>
      <c r="F21" s="70"/>
      <c r="G21" s="70">
        <f>400010/1000</f>
        <v>400.01</v>
      </c>
      <c r="H21" s="70"/>
      <c r="I21" s="70">
        <v>0</v>
      </c>
      <c r="J21" s="70"/>
      <c r="K21" s="70">
        <f>G21+I21</f>
        <v>400.01</v>
      </c>
      <c r="L21" s="70"/>
      <c r="M21" s="70">
        <f>G21-A21</f>
        <v>-12.670000000000016</v>
      </c>
      <c r="N21" s="70"/>
      <c r="O21" s="71">
        <f>C21-I21</f>
        <v>0</v>
      </c>
      <c r="P21" s="72">
        <f>M21+O21</f>
        <v>-12.670000000000016</v>
      </c>
    </row>
    <row r="22" spans="1:22" ht="8.25" customHeight="1" x14ac:dyDescent="0.25"/>
    <row r="23" spans="1:22" x14ac:dyDescent="0.25">
      <c r="A23" s="19" t="s">
        <v>23</v>
      </c>
      <c r="B23" s="23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22" ht="11.25" customHeight="1" x14ac:dyDescent="0.25">
      <c r="P24" s="2" t="s">
        <v>16</v>
      </c>
    </row>
    <row r="25" spans="1:22" ht="31.5" customHeight="1" x14ac:dyDescent="0.25">
      <c r="A25" s="25" t="s">
        <v>25</v>
      </c>
      <c r="B25" s="25" t="s">
        <v>26</v>
      </c>
      <c r="C25" s="25" t="s">
        <v>27</v>
      </c>
      <c r="D25" s="25" t="s">
        <v>298</v>
      </c>
      <c r="E25" s="25"/>
      <c r="F25" s="25"/>
      <c r="G25" s="25" t="s">
        <v>28</v>
      </c>
      <c r="H25" s="25"/>
      <c r="I25" s="25"/>
      <c r="J25" s="25" t="s">
        <v>29</v>
      </c>
      <c r="K25" s="25"/>
      <c r="L25" s="25"/>
      <c r="M25" s="25" t="s">
        <v>22</v>
      </c>
      <c r="N25" s="25"/>
      <c r="O25" s="25"/>
      <c r="P25" s="32" t="s">
        <v>30</v>
      </c>
      <c r="Q25" s="33"/>
      <c r="R25" s="33"/>
      <c r="S25" s="33"/>
      <c r="T25" s="33"/>
      <c r="U25" s="33"/>
      <c r="V25" s="33"/>
    </row>
    <row r="26" spans="1:22" ht="32.25" customHeight="1" x14ac:dyDescent="0.25">
      <c r="A26" s="25"/>
      <c r="B26" s="25"/>
      <c r="C26" s="25"/>
      <c r="D26" s="25"/>
      <c r="E26" s="25"/>
      <c r="F26" s="25"/>
      <c r="G26" s="34" t="s">
        <v>19</v>
      </c>
      <c r="H26" s="34" t="s">
        <v>20</v>
      </c>
      <c r="I26" s="34" t="s">
        <v>21</v>
      </c>
      <c r="J26" s="34" t="s">
        <v>19</v>
      </c>
      <c r="K26" s="34" t="s">
        <v>20</v>
      </c>
      <c r="L26" s="34" t="s">
        <v>21</v>
      </c>
      <c r="M26" s="34" t="s">
        <v>19</v>
      </c>
      <c r="N26" s="34" t="s">
        <v>20</v>
      </c>
      <c r="O26" s="34" t="s">
        <v>21</v>
      </c>
      <c r="P26" s="32"/>
    </row>
    <row r="27" spans="1:22" s="4" customFormat="1" ht="9" customHeight="1" x14ac:dyDescent="0.25">
      <c r="A27" s="10">
        <v>1</v>
      </c>
      <c r="B27" s="10">
        <v>2</v>
      </c>
      <c r="C27" s="10">
        <v>3</v>
      </c>
      <c r="D27" s="12">
        <v>4</v>
      </c>
      <c r="E27" s="12"/>
      <c r="F27" s="12"/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1">
        <v>14</v>
      </c>
    </row>
    <row r="28" spans="1:22" ht="104.25" customHeight="1" x14ac:dyDescent="0.25">
      <c r="A28" s="29">
        <v>1</v>
      </c>
      <c r="B28" s="29">
        <v>1011230</v>
      </c>
      <c r="C28" s="74" t="s">
        <v>148</v>
      </c>
      <c r="D28" s="47" t="s">
        <v>360</v>
      </c>
      <c r="E28" s="15"/>
      <c r="F28" s="15"/>
      <c r="G28" s="9">
        <f>A21</f>
        <v>412.68</v>
      </c>
      <c r="H28" s="9">
        <f>C21</f>
        <v>0</v>
      </c>
      <c r="I28" s="9">
        <f>G28+H28</f>
        <v>412.68</v>
      </c>
      <c r="J28" s="9">
        <f>G21</f>
        <v>400.01</v>
      </c>
      <c r="K28" s="9">
        <f>I21</f>
        <v>0</v>
      </c>
      <c r="L28" s="9">
        <f>J28+K28</f>
        <v>400.01</v>
      </c>
      <c r="M28" s="9">
        <f>J28-G28</f>
        <v>-12.670000000000016</v>
      </c>
      <c r="N28" s="9">
        <f t="shared" ref="N28" si="0">H28-K28</f>
        <v>0</v>
      </c>
      <c r="O28" s="9">
        <f>M28+N28</f>
        <v>-12.670000000000016</v>
      </c>
      <c r="P28" s="44" t="s">
        <v>361</v>
      </c>
    </row>
    <row r="29" spans="1:22" ht="9" customHeight="1" x14ac:dyDescent="0.25">
      <c r="D29" s="46"/>
      <c r="E29" s="46"/>
      <c r="F29" s="46"/>
    </row>
    <row r="30" spans="1:22" x14ac:dyDescent="0.25">
      <c r="A30" s="17" t="s">
        <v>31</v>
      </c>
      <c r="B30" s="23" t="s">
        <v>32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22" ht="11.25" customHeight="1" x14ac:dyDescent="0.25">
      <c r="P31" s="2" t="s">
        <v>16</v>
      </c>
    </row>
    <row r="32" spans="1:22" ht="29.25" customHeight="1" x14ac:dyDescent="0.25">
      <c r="A32" s="25" t="s">
        <v>33</v>
      </c>
      <c r="B32" s="25"/>
      <c r="C32" s="25"/>
      <c r="D32" s="25"/>
      <c r="E32" s="25"/>
      <c r="F32" s="25"/>
      <c r="G32" s="25" t="s">
        <v>28</v>
      </c>
      <c r="H32" s="25"/>
      <c r="I32" s="25"/>
      <c r="J32" s="25" t="s">
        <v>29</v>
      </c>
      <c r="K32" s="25"/>
      <c r="L32" s="25"/>
      <c r="M32" s="25" t="s">
        <v>22</v>
      </c>
      <c r="N32" s="25"/>
      <c r="O32" s="25"/>
      <c r="P32" s="25" t="s">
        <v>30</v>
      </c>
    </row>
    <row r="33" spans="1:16" ht="29.25" customHeight="1" x14ac:dyDescent="0.25">
      <c r="A33" s="25"/>
      <c r="B33" s="25"/>
      <c r="C33" s="25"/>
      <c r="D33" s="25"/>
      <c r="E33" s="25"/>
      <c r="F33" s="25"/>
      <c r="G33" s="34" t="s">
        <v>19</v>
      </c>
      <c r="H33" s="34" t="s">
        <v>20</v>
      </c>
      <c r="I33" s="34" t="s">
        <v>21</v>
      </c>
      <c r="J33" s="34" t="s">
        <v>19</v>
      </c>
      <c r="K33" s="34" t="s">
        <v>20</v>
      </c>
      <c r="L33" s="34" t="s">
        <v>21</v>
      </c>
      <c r="M33" s="34" t="s">
        <v>19</v>
      </c>
      <c r="N33" s="34" t="s">
        <v>20</v>
      </c>
      <c r="O33" s="34" t="s">
        <v>21</v>
      </c>
      <c r="P33" s="25"/>
    </row>
    <row r="34" spans="1:16" s="4" customFormat="1" ht="10.5" x14ac:dyDescent="0.25">
      <c r="A34" s="12">
        <v>1</v>
      </c>
      <c r="B34" s="12"/>
      <c r="C34" s="12"/>
      <c r="D34" s="12"/>
      <c r="E34" s="12"/>
      <c r="F34" s="12"/>
      <c r="G34" s="10">
        <v>2</v>
      </c>
      <c r="H34" s="10">
        <v>3</v>
      </c>
      <c r="I34" s="10">
        <v>4</v>
      </c>
      <c r="J34" s="10">
        <v>5</v>
      </c>
      <c r="K34" s="10">
        <v>6</v>
      </c>
      <c r="L34" s="10">
        <v>7</v>
      </c>
      <c r="M34" s="10">
        <v>8</v>
      </c>
      <c r="N34" s="10">
        <v>9</v>
      </c>
      <c r="O34" s="10">
        <v>10</v>
      </c>
      <c r="P34" s="10">
        <v>11</v>
      </c>
    </row>
    <row r="35" spans="1:16" ht="45" customHeight="1" x14ac:dyDescent="0.25">
      <c r="A35" s="52" t="s">
        <v>54</v>
      </c>
      <c r="B35" s="53"/>
      <c r="C35" s="53"/>
      <c r="D35" s="53"/>
      <c r="E35" s="53"/>
      <c r="F35" s="54"/>
      <c r="G35" s="9">
        <f>G28</f>
        <v>412.68</v>
      </c>
      <c r="H35" s="9">
        <v>0</v>
      </c>
      <c r="I35" s="9">
        <f>G35+H35</f>
        <v>412.68</v>
      </c>
      <c r="J35" s="9">
        <f>J28</f>
        <v>400.01</v>
      </c>
      <c r="K35" s="9">
        <v>0</v>
      </c>
      <c r="L35" s="9">
        <f>J35+K35</f>
        <v>400.01</v>
      </c>
      <c r="M35" s="9">
        <f>G35-J35</f>
        <v>12.670000000000016</v>
      </c>
      <c r="N35" s="9">
        <v>0</v>
      </c>
      <c r="O35" s="9">
        <f>M35+N35</f>
        <v>12.670000000000016</v>
      </c>
      <c r="P35" s="6" t="s">
        <v>361</v>
      </c>
    </row>
    <row r="36" spans="1:16" ht="9.75" customHeight="1" x14ac:dyDescent="0.25"/>
    <row r="37" spans="1:16" x14ac:dyDescent="0.25">
      <c r="A37" s="17" t="s">
        <v>34</v>
      </c>
      <c r="B37" s="23" t="s">
        <v>35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ht="11.25" customHeight="1" x14ac:dyDescent="0.25">
      <c r="P38" s="2" t="s">
        <v>16</v>
      </c>
    </row>
    <row r="39" spans="1:16" ht="29.25" customHeight="1" x14ac:dyDescent="0.25">
      <c r="A39" s="34" t="s">
        <v>25</v>
      </c>
      <c r="B39" s="34" t="s">
        <v>26</v>
      </c>
      <c r="C39" s="25" t="s">
        <v>36</v>
      </c>
      <c r="D39" s="25"/>
      <c r="E39" s="25"/>
      <c r="F39" s="25"/>
      <c r="G39" s="25"/>
      <c r="H39" s="34" t="s">
        <v>37</v>
      </c>
      <c r="I39" s="25" t="s">
        <v>38</v>
      </c>
      <c r="J39" s="25"/>
      <c r="K39" s="25" t="s">
        <v>28</v>
      </c>
      <c r="L39" s="25"/>
      <c r="M39" s="25" t="s">
        <v>39</v>
      </c>
      <c r="N39" s="25"/>
      <c r="O39" s="25" t="s">
        <v>22</v>
      </c>
      <c r="P39" s="25"/>
    </row>
    <row r="40" spans="1:16" s="4" customFormat="1" ht="11.25" customHeight="1" x14ac:dyDescent="0.25">
      <c r="A40" s="10">
        <v>1</v>
      </c>
      <c r="B40" s="10">
        <v>2</v>
      </c>
      <c r="C40" s="12">
        <v>3</v>
      </c>
      <c r="D40" s="12"/>
      <c r="E40" s="12"/>
      <c r="F40" s="12"/>
      <c r="G40" s="12"/>
      <c r="H40" s="10">
        <v>4</v>
      </c>
      <c r="I40" s="12">
        <v>5</v>
      </c>
      <c r="J40" s="12"/>
      <c r="K40" s="12">
        <v>6</v>
      </c>
      <c r="L40" s="12"/>
      <c r="M40" s="12">
        <v>7</v>
      </c>
      <c r="N40" s="12"/>
      <c r="O40" s="12">
        <v>8</v>
      </c>
      <c r="P40" s="12"/>
    </row>
    <row r="41" spans="1:16" s="36" customFormat="1" ht="18" customHeight="1" x14ac:dyDescent="0.25">
      <c r="A41" s="37"/>
      <c r="B41" s="37">
        <v>1011230</v>
      </c>
      <c r="C41" s="38" t="s">
        <v>182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</row>
    <row r="42" spans="1:16" s="36" customFormat="1" ht="14.25" customHeight="1" x14ac:dyDescent="0.25">
      <c r="A42" s="37">
        <v>1</v>
      </c>
      <c r="B42" s="37"/>
      <c r="C42" s="47" t="s">
        <v>56</v>
      </c>
      <c r="D42" s="47"/>
      <c r="E42" s="47"/>
      <c r="F42" s="47"/>
      <c r="G42" s="47"/>
      <c r="H42" s="29"/>
      <c r="I42" s="28"/>
      <c r="J42" s="28"/>
      <c r="K42" s="28"/>
      <c r="L42" s="28"/>
      <c r="M42" s="28"/>
      <c r="N42" s="28"/>
      <c r="O42" s="28"/>
      <c r="P42" s="28"/>
    </row>
    <row r="43" spans="1:16" s="36" customFormat="1" ht="61.5" customHeight="1" x14ac:dyDescent="0.25">
      <c r="A43" s="37"/>
      <c r="B43" s="37"/>
      <c r="C43" s="15" t="s">
        <v>83</v>
      </c>
      <c r="D43" s="15"/>
      <c r="E43" s="15"/>
      <c r="F43" s="15"/>
      <c r="G43" s="15"/>
      <c r="H43" s="29" t="s">
        <v>58</v>
      </c>
      <c r="I43" s="28" t="s">
        <v>297</v>
      </c>
      <c r="J43" s="28"/>
      <c r="K43" s="30">
        <f>E21</f>
        <v>412.68</v>
      </c>
      <c r="L43" s="28"/>
      <c r="M43" s="30">
        <f>K21</f>
        <v>400.01</v>
      </c>
      <c r="N43" s="28"/>
      <c r="O43" s="30">
        <f>M43-K43</f>
        <v>-12.670000000000016</v>
      </c>
      <c r="P43" s="28"/>
    </row>
    <row r="44" spans="1:16" s="36" customFormat="1" ht="17.25" customHeight="1" x14ac:dyDescent="0.25">
      <c r="A44" s="37">
        <v>2</v>
      </c>
      <c r="B44" s="37"/>
      <c r="C44" s="47" t="s">
        <v>64</v>
      </c>
      <c r="D44" s="47"/>
      <c r="E44" s="47"/>
      <c r="F44" s="47"/>
      <c r="G44" s="47"/>
      <c r="H44" s="29"/>
      <c r="I44" s="28"/>
      <c r="J44" s="28"/>
      <c r="K44" s="28"/>
      <c r="L44" s="28"/>
      <c r="M44" s="28"/>
      <c r="N44" s="28"/>
      <c r="O44" s="28"/>
      <c r="P44" s="28"/>
    </row>
    <row r="45" spans="1:16" s="36" customFormat="1" ht="18" customHeight="1" x14ac:dyDescent="0.25">
      <c r="A45" s="37"/>
      <c r="B45" s="37"/>
      <c r="C45" s="15" t="s">
        <v>183</v>
      </c>
      <c r="D45" s="15"/>
      <c r="E45" s="15"/>
      <c r="F45" s="15"/>
      <c r="G45" s="15"/>
      <c r="H45" s="29" t="s">
        <v>92</v>
      </c>
      <c r="I45" s="80" t="s">
        <v>114</v>
      </c>
      <c r="J45" s="81"/>
      <c r="K45" s="28">
        <f>K43/1810*1000</f>
        <v>228</v>
      </c>
      <c r="L45" s="28"/>
      <c r="M45" s="28">
        <f>M43/1810*1000</f>
        <v>221</v>
      </c>
      <c r="N45" s="28"/>
      <c r="O45" s="48">
        <f>M45-K45</f>
        <v>-7</v>
      </c>
      <c r="P45" s="48"/>
    </row>
    <row r="46" spans="1:16" s="36" customFormat="1" ht="18" customHeight="1" x14ac:dyDescent="0.25">
      <c r="A46" s="37">
        <v>3</v>
      </c>
      <c r="B46" s="37"/>
      <c r="C46" s="47" t="s">
        <v>68</v>
      </c>
      <c r="D46" s="47"/>
      <c r="E46" s="47"/>
      <c r="F46" s="47"/>
      <c r="G46" s="47"/>
      <c r="H46" s="29"/>
      <c r="I46" s="28"/>
      <c r="J46" s="28"/>
      <c r="K46" s="28"/>
      <c r="L46" s="28"/>
      <c r="M46" s="28"/>
      <c r="N46" s="28"/>
      <c r="O46" s="28"/>
      <c r="P46" s="28"/>
    </row>
    <row r="47" spans="1:16" s="36" customFormat="1" ht="18" customHeight="1" x14ac:dyDescent="0.25">
      <c r="A47" s="37"/>
      <c r="B47" s="37"/>
      <c r="C47" s="15" t="s">
        <v>184</v>
      </c>
      <c r="D47" s="15"/>
      <c r="E47" s="15"/>
      <c r="F47" s="15"/>
      <c r="G47" s="15"/>
      <c r="H47" s="29" t="s">
        <v>96</v>
      </c>
      <c r="I47" s="28" t="s">
        <v>72</v>
      </c>
      <c r="J47" s="28"/>
      <c r="K47" s="55">
        <f>K43/K45*1000</f>
        <v>1810</v>
      </c>
      <c r="L47" s="55"/>
      <c r="M47" s="55">
        <f>M43/M45*1000</f>
        <v>1810</v>
      </c>
      <c r="N47" s="55"/>
      <c r="O47" s="55">
        <f>K47-M47</f>
        <v>0</v>
      </c>
      <c r="P47" s="55"/>
    </row>
    <row r="48" spans="1:16" s="36" customFormat="1" ht="19.5" customHeight="1" x14ac:dyDescent="0.25">
      <c r="A48" s="38" t="s">
        <v>233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</row>
    <row r="49" spans="1:16" s="36" customFormat="1" ht="16.5" customHeight="1" x14ac:dyDescent="0.25">
      <c r="A49" s="52" t="s">
        <v>273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  <row r="50" spans="1:16" s="36" customFormat="1" ht="18" customHeight="1" x14ac:dyDescent="0.25">
      <c r="A50" s="47" t="s">
        <v>240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</row>
    <row r="51" spans="1:16" s="36" customFormat="1" ht="24" customHeight="1" x14ac:dyDescent="0.25">
      <c r="A51" s="52" t="s">
        <v>362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  <row r="52" spans="1:16" s="82" customFormat="1" ht="19.5" customHeight="1" x14ac:dyDescent="0.25">
      <c r="H52" s="83"/>
    </row>
    <row r="53" spans="1:16" x14ac:dyDescent="0.25">
      <c r="A53" s="17" t="s">
        <v>40</v>
      </c>
      <c r="B53" s="23" t="s">
        <v>305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ht="12" customHeight="1" x14ac:dyDescent="0.25">
      <c r="P54" s="24" t="s">
        <v>16</v>
      </c>
    </row>
    <row r="55" spans="1:16" ht="33.75" customHeight="1" x14ac:dyDescent="0.25">
      <c r="A55" s="59" t="s">
        <v>41</v>
      </c>
      <c r="B55" s="60" t="s">
        <v>42</v>
      </c>
      <c r="C55" s="61"/>
      <c r="D55" s="59" t="s">
        <v>26</v>
      </c>
      <c r="E55" s="25" t="s">
        <v>43</v>
      </c>
      <c r="F55" s="25"/>
      <c r="G55" s="25"/>
      <c r="H55" s="25" t="s">
        <v>44</v>
      </c>
      <c r="I55" s="25"/>
      <c r="J55" s="25"/>
      <c r="K55" s="25" t="s">
        <v>45</v>
      </c>
      <c r="L55" s="25"/>
      <c r="M55" s="25"/>
      <c r="N55" s="25" t="s">
        <v>46</v>
      </c>
      <c r="O55" s="25"/>
      <c r="P55" s="25"/>
    </row>
    <row r="56" spans="1:16" ht="45" x14ac:dyDescent="0.25">
      <c r="A56" s="62"/>
      <c r="B56" s="63"/>
      <c r="C56" s="64"/>
      <c r="D56" s="62"/>
      <c r="E56" s="34" t="s">
        <v>19</v>
      </c>
      <c r="F56" s="34" t="s">
        <v>20</v>
      </c>
      <c r="G56" s="34" t="s">
        <v>21</v>
      </c>
      <c r="H56" s="34" t="s">
        <v>19</v>
      </c>
      <c r="I56" s="34" t="s">
        <v>20</v>
      </c>
      <c r="J56" s="34" t="s">
        <v>21</v>
      </c>
      <c r="K56" s="34" t="s">
        <v>19</v>
      </c>
      <c r="L56" s="34" t="s">
        <v>20</v>
      </c>
      <c r="M56" s="34" t="s">
        <v>21</v>
      </c>
      <c r="N56" s="34" t="s">
        <v>19</v>
      </c>
      <c r="O56" s="34" t="s">
        <v>20</v>
      </c>
      <c r="P56" s="34" t="s">
        <v>21</v>
      </c>
    </row>
    <row r="57" spans="1:16" s="36" customFormat="1" ht="8.25" customHeight="1" x14ac:dyDescent="0.25">
      <c r="A57" s="29">
        <v>1</v>
      </c>
      <c r="B57" s="28">
        <v>2</v>
      </c>
      <c r="C57" s="28"/>
      <c r="D57" s="29">
        <v>3</v>
      </c>
      <c r="E57" s="29">
        <v>4</v>
      </c>
      <c r="F57" s="29">
        <v>5</v>
      </c>
      <c r="G57" s="29">
        <v>6</v>
      </c>
      <c r="H57" s="29">
        <v>7</v>
      </c>
      <c r="I57" s="29">
        <v>8</v>
      </c>
      <c r="J57" s="29">
        <v>9</v>
      </c>
      <c r="K57" s="29">
        <v>10</v>
      </c>
      <c r="L57" s="29">
        <v>11</v>
      </c>
      <c r="M57" s="29">
        <v>12</v>
      </c>
      <c r="N57" s="29">
        <v>13</v>
      </c>
      <c r="O57" s="29">
        <v>14</v>
      </c>
      <c r="P57" s="29">
        <v>15</v>
      </c>
    </row>
    <row r="58" spans="1:16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</row>
    <row r="59" spans="1:16" ht="5.25" customHeight="1" x14ac:dyDescent="0.25"/>
    <row r="60" spans="1:16" ht="12" customHeight="1" x14ac:dyDescent="0.25">
      <c r="A60" s="23" t="s">
        <v>306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6" ht="10.5" customHeight="1" x14ac:dyDescent="0.25">
      <c r="A61" s="23" t="s">
        <v>307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6" ht="11.25" customHeight="1" x14ac:dyDescent="0.25">
      <c r="A62" s="23" t="s">
        <v>308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ht="18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6" ht="18" customHeight="1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6" spans="1:15" x14ac:dyDescent="0.25">
      <c r="A66" s="65" t="s">
        <v>47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5" t="s">
        <v>48</v>
      </c>
      <c r="N66" s="66"/>
      <c r="O66" s="66"/>
    </row>
    <row r="67" spans="1:15" x14ac:dyDescent="0.25">
      <c r="A67" s="65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5"/>
      <c r="N67" s="66"/>
      <c r="O67" s="66"/>
    </row>
    <row r="68" spans="1:15" x14ac:dyDescent="0.25">
      <c r="A68" s="65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5"/>
      <c r="N68" s="66"/>
      <c r="O68" s="66"/>
    </row>
    <row r="70" spans="1:15" x14ac:dyDescent="0.25">
      <c r="A70" s="65" t="str">
        <f>'1010'!A116</f>
        <v xml:space="preserve">Спеціаліст І категорії, бухгалтер управління освіти і науки 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 t="str">
        <f>'1010'!M116</f>
        <v>Ю.Філатова</v>
      </c>
    </row>
  </sheetData>
  <mergeCells count="113">
    <mergeCell ref="A48:P48"/>
    <mergeCell ref="A49:P49"/>
    <mergeCell ref="A50:P50"/>
    <mergeCell ref="A51:P51"/>
    <mergeCell ref="B57:C57"/>
    <mergeCell ref="A60:P60"/>
    <mergeCell ref="A61:P61"/>
    <mergeCell ref="A62:P62"/>
    <mergeCell ref="B53:P53"/>
    <mergeCell ref="A55:A56"/>
    <mergeCell ref="B55:C56"/>
    <mergeCell ref="D55:D56"/>
    <mergeCell ref="E55:G55"/>
    <mergeCell ref="H55:J55"/>
    <mergeCell ref="K55:M55"/>
    <mergeCell ref="N55:P55"/>
    <mergeCell ref="C46:G46"/>
    <mergeCell ref="I46:J46"/>
    <mergeCell ref="K46:L46"/>
    <mergeCell ref="M46:N46"/>
    <mergeCell ref="O46:P46"/>
    <mergeCell ref="C47:G47"/>
    <mergeCell ref="I47:J47"/>
    <mergeCell ref="K47:L47"/>
    <mergeCell ref="M47:N47"/>
    <mergeCell ref="O47:P47"/>
    <mergeCell ref="C44:G44"/>
    <mergeCell ref="I44:J44"/>
    <mergeCell ref="K44:L44"/>
    <mergeCell ref="M44:N44"/>
    <mergeCell ref="O44:P44"/>
    <mergeCell ref="C45:G45"/>
    <mergeCell ref="I45:J45"/>
    <mergeCell ref="K45:L45"/>
    <mergeCell ref="M45:N45"/>
    <mergeCell ref="O45:P45"/>
    <mergeCell ref="C42:G42"/>
    <mergeCell ref="I42:J42"/>
    <mergeCell ref="K42:L42"/>
    <mergeCell ref="M42:N42"/>
    <mergeCell ref="O42:P42"/>
    <mergeCell ref="C43:G43"/>
    <mergeCell ref="I43:J43"/>
    <mergeCell ref="K43:L43"/>
    <mergeCell ref="M43:N43"/>
    <mergeCell ref="O43:P43"/>
    <mergeCell ref="C40:G40"/>
    <mergeCell ref="I40:J40"/>
    <mergeCell ref="K40:L40"/>
    <mergeCell ref="M40:N40"/>
    <mergeCell ref="O40:P40"/>
    <mergeCell ref="C41:P41"/>
    <mergeCell ref="A34:F34"/>
    <mergeCell ref="A35:F35"/>
    <mergeCell ref="B37:P37"/>
    <mergeCell ref="C39:G39"/>
    <mergeCell ref="I39:J39"/>
    <mergeCell ref="K39:L39"/>
    <mergeCell ref="M39:N39"/>
    <mergeCell ref="O39:P39"/>
    <mergeCell ref="Q25:S25"/>
    <mergeCell ref="T25:V25"/>
    <mergeCell ref="D27:F27"/>
    <mergeCell ref="D28:F28"/>
    <mergeCell ref="B30:P30"/>
    <mergeCell ref="A32:F33"/>
    <mergeCell ref="G32:I32"/>
    <mergeCell ref="J32:L32"/>
    <mergeCell ref="M32:O32"/>
    <mergeCell ref="P32:P33"/>
    <mergeCell ref="M21:N21"/>
    <mergeCell ref="B23:P23"/>
    <mergeCell ref="A25:A26"/>
    <mergeCell ref="B25:B26"/>
    <mergeCell ref="C25:C26"/>
    <mergeCell ref="D25:F26"/>
    <mergeCell ref="G25:I25"/>
    <mergeCell ref="J25:L25"/>
    <mergeCell ref="M25:O25"/>
    <mergeCell ref="P25:P26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C13:P13"/>
    <mergeCell ref="D14:P14"/>
    <mergeCell ref="D15:P15"/>
    <mergeCell ref="B16:P16"/>
    <mergeCell ref="A18:F18"/>
    <mergeCell ref="G18:L18"/>
    <mergeCell ref="M18:P18"/>
    <mergeCell ref="A6:P6"/>
    <mergeCell ref="A7:P7"/>
    <mergeCell ref="A8:P8"/>
    <mergeCell ref="C10:P10"/>
    <mergeCell ref="C11:P11"/>
    <mergeCell ref="C12:P12"/>
  </mergeCells>
  <pageMargins left="0.19685039370078741" right="0.19685039370078741" top="0.39370078740157483" bottom="0.19685039370078741" header="0.11811023622047245" footer="0.11811023622047245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72"/>
  <sheetViews>
    <sheetView view="pageBreakPreview" topLeftCell="A44" zoomScale="70" zoomScaleSheetLayoutView="70" workbookViewId="0">
      <selection activeCell="A53" sqref="A53:P53"/>
    </sheetView>
  </sheetViews>
  <sheetFormatPr defaultRowHeight="15" x14ac:dyDescent="0.25"/>
  <cols>
    <col min="1" max="1" width="5" style="17" customWidth="1"/>
    <col min="2" max="2" width="10.28515625" style="17" customWidth="1"/>
    <col min="3" max="3" width="9.140625" style="17" customWidth="1"/>
    <col min="4" max="4" width="7.140625" style="17" customWidth="1"/>
    <col min="5" max="5" width="7.85546875" style="17" customWidth="1"/>
    <col min="6" max="6" width="8.85546875" style="17" customWidth="1"/>
    <col min="7" max="8" width="14.42578125" style="17" customWidth="1"/>
    <col min="9" max="9" width="28.85546875" style="17" customWidth="1"/>
    <col min="10" max="10" width="27.28515625" style="17" customWidth="1"/>
    <col min="11" max="11" width="20.7109375" style="17" customWidth="1"/>
    <col min="12" max="12" width="19" style="17" customWidth="1"/>
    <col min="13" max="13" width="14.5703125" style="17" customWidth="1"/>
    <col min="14" max="14" width="13.42578125" style="17" customWidth="1"/>
    <col min="15" max="15" width="18" style="17" customWidth="1"/>
    <col min="16" max="16" width="38" style="17" customWidth="1"/>
    <col min="17" max="16384" width="9.140625" style="17"/>
  </cols>
  <sheetData>
    <row r="1" spans="1:16" ht="14.25" customHeight="1" x14ac:dyDescent="0.25">
      <c r="P1" s="5" t="s">
        <v>0</v>
      </c>
    </row>
    <row r="2" spans="1:16" ht="13.5" customHeight="1" x14ac:dyDescent="0.25">
      <c r="P2" s="5" t="s">
        <v>1</v>
      </c>
    </row>
    <row r="3" spans="1:16" ht="12.75" customHeight="1" x14ac:dyDescent="0.25">
      <c r="P3" s="5" t="s">
        <v>2</v>
      </c>
    </row>
    <row r="6" spans="1:16" ht="21.75" customHeight="1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17.25" customHeight="1" x14ac:dyDescent="0.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5.75" customHeight="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1.25" customHeight="1" x14ac:dyDescent="0.25"/>
    <row r="10" spans="1:16" ht="19.5" customHeight="1" x14ac:dyDescent="0.25">
      <c r="A10" s="19" t="s">
        <v>6</v>
      </c>
      <c r="B10" s="20">
        <v>1000000</v>
      </c>
      <c r="C10" s="21" t="s">
        <v>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2.75" customHeight="1" x14ac:dyDescent="0.25">
      <c r="B11" s="1" t="s">
        <v>7</v>
      </c>
      <c r="C11" s="13" t="s">
        <v>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8.75" customHeight="1" x14ac:dyDescent="0.25">
      <c r="A12" s="19" t="s">
        <v>9</v>
      </c>
      <c r="B12" s="20">
        <v>1010000</v>
      </c>
      <c r="C12" s="21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9.75" customHeight="1" x14ac:dyDescent="0.25">
      <c r="B13" s="1" t="s">
        <v>7</v>
      </c>
      <c r="C13" s="13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9.5" customHeight="1" x14ac:dyDescent="0.25">
      <c r="A14" s="19" t="s">
        <v>11</v>
      </c>
      <c r="B14" s="20">
        <v>1013160</v>
      </c>
      <c r="C14" s="22" t="s">
        <v>185</v>
      </c>
      <c r="D14" s="21" t="s">
        <v>186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1.25" customHeight="1" x14ac:dyDescent="0.25">
      <c r="B15" s="1" t="s">
        <v>7</v>
      </c>
      <c r="C15" s="1" t="s">
        <v>12</v>
      </c>
      <c r="D15" s="14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1" customHeight="1" x14ac:dyDescent="0.25">
      <c r="A16" s="19" t="s">
        <v>14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22" ht="10.5" customHeight="1" x14ac:dyDescent="0.25">
      <c r="P17" s="2" t="s">
        <v>16</v>
      </c>
    </row>
    <row r="18" spans="1:22" ht="34.5" customHeight="1" x14ac:dyDescent="0.25">
      <c r="A18" s="25" t="s">
        <v>17</v>
      </c>
      <c r="B18" s="25"/>
      <c r="C18" s="25"/>
      <c r="D18" s="25"/>
      <c r="E18" s="25"/>
      <c r="F18" s="25"/>
      <c r="G18" s="25" t="s">
        <v>18</v>
      </c>
      <c r="H18" s="25"/>
      <c r="I18" s="25"/>
      <c r="J18" s="25"/>
      <c r="K18" s="25"/>
      <c r="L18" s="25"/>
      <c r="M18" s="25" t="s">
        <v>22</v>
      </c>
      <c r="N18" s="25"/>
      <c r="O18" s="25"/>
      <c r="P18" s="25"/>
    </row>
    <row r="19" spans="1:22" ht="27.75" customHeight="1" x14ac:dyDescent="0.25">
      <c r="A19" s="26" t="s">
        <v>19</v>
      </c>
      <c r="B19" s="26"/>
      <c r="C19" s="26" t="s">
        <v>20</v>
      </c>
      <c r="D19" s="26"/>
      <c r="E19" s="26" t="s">
        <v>21</v>
      </c>
      <c r="F19" s="26"/>
      <c r="G19" s="26" t="s">
        <v>19</v>
      </c>
      <c r="H19" s="26"/>
      <c r="I19" s="26" t="s">
        <v>20</v>
      </c>
      <c r="J19" s="26"/>
      <c r="K19" s="26" t="s">
        <v>21</v>
      </c>
      <c r="L19" s="26"/>
      <c r="M19" s="26" t="s">
        <v>19</v>
      </c>
      <c r="N19" s="26"/>
      <c r="O19" s="27" t="s">
        <v>20</v>
      </c>
      <c r="P19" s="27" t="s">
        <v>21</v>
      </c>
    </row>
    <row r="20" spans="1:22" s="3" customFormat="1" ht="13.5" customHeight="1" x14ac:dyDescent="0.2">
      <c r="A20" s="12">
        <v>1</v>
      </c>
      <c r="B20" s="12"/>
      <c r="C20" s="12">
        <v>2</v>
      </c>
      <c r="D20" s="12"/>
      <c r="E20" s="12">
        <v>3</v>
      </c>
      <c r="F20" s="12"/>
      <c r="G20" s="12">
        <v>4</v>
      </c>
      <c r="H20" s="12"/>
      <c r="I20" s="12">
        <v>5</v>
      </c>
      <c r="J20" s="12"/>
      <c r="K20" s="12">
        <v>6</v>
      </c>
      <c r="L20" s="12"/>
      <c r="M20" s="12">
        <v>7</v>
      </c>
      <c r="N20" s="12"/>
      <c r="O20" s="10">
        <v>8</v>
      </c>
      <c r="P20" s="10">
        <v>9</v>
      </c>
    </row>
    <row r="21" spans="1:22" ht="18" customHeight="1" x14ac:dyDescent="0.25">
      <c r="A21" s="70">
        <f>17160/1000</f>
        <v>17.16</v>
      </c>
      <c r="B21" s="70"/>
      <c r="C21" s="70">
        <v>0</v>
      </c>
      <c r="D21" s="70"/>
      <c r="E21" s="70">
        <f>A21+C21</f>
        <v>17.16</v>
      </c>
      <c r="F21" s="70"/>
      <c r="G21" s="70">
        <f>16720/1000</f>
        <v>16.72</v>
      </c>
      <c r="H21" s="70"/>
      <c r="I21" s="70">
        <v>0</v>
      </c>
      <c r="J21" s="70"/>
      <c r="K21" s="70">
        <f>G21+I21</f>
        <v>16.72</v>
      </c>
      <c r="L21" s="70"/>
      <c r="M21" s="70">
        <f>G21-A21</f>
        <v>-0.44000000000000128</v>
      </c>
      <c r="N21" s="70"/>
      <c r="O21" s="71">
        <f>C21-I21</f>
        <v>0</v>
      </c>
      <c r="P21" s="72">
        <f>M21+O21</f>
        <v>-0.44000000000000128</v>
      </c>
    </row>
    <row r="23" spans="1:22" x14ac:dyDescent="0.25">
      <c r="A23" s="19" t="s">
        <v>23</v>
      </c>
      <c r="B23" s="23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22" ht="11.25" customHeight="1" x14ac:dyDescent="0.25">
      <c r="P24" s="2" t="s">
        <v>16</v>
      </c>
    </row>
    <row r="25" spans="1:22" ht="31.5" customHeight="1" x14ac:dyDescent="0.25">
      <c r="A25" s="25" t="s">
        <v>25</v>
      </c>
      <c r="B25" s="25" t="s">
        <v>26</v>
      </c>
      <c r="C25" s="25" t="s">
        <v>27</v>
      </c>
      <c r="D25" s="25" t="s">
        <v>298</v>
      </c>
      <c r="E25" s="25"/>
      <c r="F25" s="25"/>
      <c r="G25" s="25" t="s">
        <v>28</v>
      </c>
      <c r="H25" s="25"/>
      <c r="I25" s="25"/>
      <c r="J25" s="25" t="s">
        <v>29</v>
      </c>
      <c r="K25" s="25"/>
      <c r="L25" s="25"/>
      <c r="M25" s="25" t="s">
        <v>22</v>
      </c>
      <c r="N25" s="25"/>
      <c r="O25" s="25"/>
      <c r="P25" s="32" t="s">
        <v>30</v>
      </c>
      <c r="Q25" s="33"/>
      <c r="R25" s="33"/>
      <c r="S25" s="33"/>
      <c r="T25" s="33"/>
      <c r="U25" s="33"/>
      <c r="V25" s="33"/>
    </row>
    <row r="26" spans="1:22" ht="32.25" customHeight="1" x14ac:dyDescent="0.25">
      <c r="A26" s="25"/>
      <c r="B26" s="25"/>
      <c r="C26" s="25"/>
      <c r="D26" s="25"/>
      <c r="E26" s="25"/>
      <c r="F26" s="25"/>
      <c r="G26" s="34" t="s">
        <v>19</v>
      </c>
      <c r="H26" s="34" t="s">
        <v>20</v>
      </c>
      <c r="I26" s="34" t="s">
        <v>21</v>
      </c>
      <c r="J26" s="34" t="s">
        <v>19</v>
      </c>
      <c r="K26" s="34" t="s">
        <v>20</v>
      </c>
      <c r="L26" s="34" t="s">
        <v>21</v>
      </c>
      <c r="M26" s="34" t="s">
        <v>19</v>
      </c>
      <c r="N26" s="34" t="s">
        <v>20</v>
      </c>
      <c r="O26" s="34" t="s">
        <v>21</v>
      </c>
      <c r="P26" s="32"/>
    </row>
    <row r="27" spans="1:22" s="4" customFormat="1" ht="9" customHeight="1" x14ac:dyDescent="0.25">
      <c r="A27" s="10">
        <v>1</v>
      </c>
      <c r="B27" s="10">
        <v>2</v>
      </c>
      <c r="C27" s="10">
        <v>3</v>
      </c>
      <c r="D27" s="12">
        <v>4</v>
      </c>
      <c r="E27" s="12"/>
      <c r="F27" s="12"/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1">
        <v>14</v>
      </c>
    </row>
    <row r="28" spans="1:22" ht="104.25" customHeight="1" x14ac:dyDescent="0.25">
      <c r="A28" s="29">
        <v>1</v>
      </c>
      <c r="B28" s="29">
        <v>1013160</v>
      </c>
      <c r="C28" s="74" t="s">
        <v>185</v>
      </c>
      <c r="D28" s="47" t="s">
        <v>367</v>
      </c>
      <c r="E28" s="15"/>
      <c r="F28" s="15"/>
      <c r="G28" s="9">
        <f>A21</f>
        <v>17.16</v>
      </c>
      <c r="H28" s="9">
        <f>C21</f>
        <v>0</v>
      </c>
      <c r="I28" s="9">
        <f>G28+H28</f>
        <v>17.16</v>
      </c>
      <c r="J28" s="9">
        <f>G21</f>
        <v>16.72</v>
      </c>
      <c r="K28" s="9">
        <f>I21</f>
        <v>0</v>
      </c>
      <c r="L28" s="9">
        <f>J28+K28</f>
        <v>16.72</v>
      </c>
      <c r="M28" s="9">
        <f>J28-G28</f>
        <v>-0.44000000000000128</v>
      </c>
      <c r="N28" s="9">
        <f t="shared" ref="N28" si="0">H28-K28</f>
        <v>0</v>
      </c>
      <c r="O28" s="9">
        <f>M28+N28</f>
        <v>-0.44000000000000128</v>
      </c>
      <c r="P28" s="44" t="s">
        <v>361</v>
      </c>
    </row>
    <row r="29" spans="1:22" ht="13.5" customHeight="1" x14ac:dyDescent="0.25">
      <c r="D29" s="46"/>
      <c r="E29" s="46"/>
      <c r="F29" s="46"/>
    </row>
    <row r="30" spans="1:22" x14ac:dyDescent="0.25">
      <c r="A30" s="17" t="s">
        <v>31</v>
      </c>
      <c r="B30" s="23" t="s">
        <v>32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22" ht="11.25" customHeight="1" x14ac:dyDescent="0.25">
      <c r="P31" s="2" t="s">
        <v>16</v>
      </c>
    </row>
    <row r="32" spans="1:22" ht="34.5" customHeight="1" x14ac:dyDescent="0.25">
      <c r="A32" s="25" t="s">
        <v>33</v>
      </c>
      <c r="B32" s="25"/>
      <c r="C32" s="25"/>
      <c r="D32" s="25"/>
      <c r="E32" s="25"/>
      <c r="F32" s="25"/>
      <c r="G32" s="25" t="s">
        <v>28</v>
      </c>
      <c r="H32" s="25"/>
      <c r="I32" s="25"/>
      <c r="J32" s="25" t="s">
        <v>29</v>
      </c>
      <c r="K32" s="25"/>
      <c r="L32" s="25"/>
      <c r="M32" s="25" t="s">
        <v>22</v>
      </c>
      <c r="N32" s="25"/>
      <c r="O32" s="25"/>
      <c r="P32" s="25" t="s">
        <v>30</v>
      </c>
    </row>
    <row r="33" spans="1:16" ht="32.25" customHeight="1" x14ac:dyDescent="0.25">
      <c r="A33" s="25"/>
      <c r="B33" s="25"/>
      <c r="C33" s="25"/>
      <c r="D33" s="25"/>
      <c r="E33" s="25"/>
      <c r="F33" s="25"/>
      <c r="G33" s="34" t="s">
        <v>19</v>
      </c>
      <c r="H33" s="34" t="s">
        <v>20</v>
      </c>
      <c r="I33" s="34" t="s">
        <v>21</v>
      </c>
      <c r="J33" s="34" t="s">
        <v>19</v>
      </c>
      <c r="K33" s="34" t="s">
        <v>20</v>
      </c>
      <c r="L33" s="34" t="s">
        <v>21</v>
      </c>
      <c r="M33" s="34" t="s">
        <v>19</v>
      </c>
      <c r="N33" s="34" t="s">
        <v>20</v>
      </c>
      <c r="O33" s="34" t="s">
        <v>21</v>
      </c>
      <c r="P33" s="25"/>
    </row>
    <row r="34" spans="1:16" s="4" customFormat="1" ht="10.5" x14ac:dyDescent="0.25">
      <c r="A34" s="12">
        <v>1</v>
      </c>
      <c r="B34" s="12"/>
      <c r="C34" s="12"/>
      <c r="D34" s="12"/>
      <c r="E34" s="12"/>
      <c r="F34" s="12"/>
      <c r="G34" s="10">
        <v>2</v>
      </c>
      <c r="H34" s="10">
        <v>3</v>
      </c>
      <c r="I34" s="10">
        <v>4</v>
      </c>
      <c r="J34" s="10">
        <v>5</v>
      </c>
      <c r="K34" s="10">
        <v>6</v>
      </c>
      <c r="L34" s="10">
        <v>7</v>
      </c>
      <c r="M34" s="10">
        <v>8</v>
      </c>
      <c r="N34" s="10">
        <v>9</v>
      </c>
      <c r="O34" s="10">
        <v>10</v>
      </c>
      <c r="P34" s="10">
        <v>11</v>
      </c>
    </row>
    <row r="35" spans="1:16" ht="45" customHeight="1" x14ac:dyDescent="0.25">
      <c r="A35" s="52" t="s">
        <v>54</v>
      </c>
      <c r="B35" s="53"/>
      <c r="C35" s="53"/>
      <c r="D35" s="53"/>
      <c r="E35" s="53"/>
      <c r="F35" s="54"/>
      <c r="G35" s="9">
        <f>G28</f>
        <v>17.16</v>
      </c>
      <c r="H35" s="9">
        <v>0</v>
      </c>
      <c r="I35" s="9">
        <f>G35+H35</f>
        <v>17.16</v>
      </c>
      <c r="J35" s="9">
        <f>J28</f>
        <v>16.72</v>
      </c>
      <c r="K35" s="9">
        <v>0</v>
      </c>
      <c r="L35" s="9">
        <f>J35+K35</f>
        <v>16.72</v>
      </c>
      <c r="M35" s="9">
        <f>G35-J35</f>
        <v>0.44000000000000128</v>
      </c>
      <c r="N35" s="9">
        <v>0</v>
      </c>
      <c r="O35" s="9">
        <f>M35+N35</f>
        <v>0.44000000000000128</v>
      </c>
      <c r="P35" s="6" t="s">
        <v>368</v>
      </c>
    </row>
    <row r="36" spans="1:16" ht="20.25" customHeight="1" x14ac:dyDescent="0.25"/>
    <row r="37" spans="1:16" x14ac:dyDescent="0.25">
      <c r="A37" s="17" t="s">
        <v>34</v>
      </c>
      <c r="B37" s="23" t="s">
        <v>35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ht="11.25" customHeight="1" x14ac:dyDescent="0.25">
      <c r="P38" s="2" t="s">
        <v>16</v>
      </c>
    </row>
    <row r="39" spans="1:16" ht="42" customHeight="1" x14ac:dyDescent="0.25">
      <c r="A39" s="34" t="s">
        <v>25</v>
      </c>
      <c r="B39" s="34" t="s">
        <v>26</v>
      </c>
      <c r="C39" s="25" t="s">
        <v>36</v>
      </c>
      <c r="D39" s="25"/>
      <c r="E39" s="25"/>
      <c r="F39" s="25"/>
      <c r="G39" s="25"/>
      <c r="H39" s="34" t="s">
        <v>37</v>
      </c>
      <c r="I39" s="25" t="s">
        <v>38</v>
      </c>
      <c r="J39" s="25"/>
      <c r="K39" s="25" t="s">
        <v>28</v>
      </c>
      <c r="L39" s="25"/>
      <c r="M39" s="25" t="s">
        <v>39</v>
      </c>
      <c r="N39" s="25"/>
      <c r="O39" s="25" t="s">
        <v>22</v>
      </c>
      <c r="P39" s="25"/>
    </row>
    <row r="40" spans="1:16" s="4" customFormat="1" ht="11.25" customHeight="1" x14ac:dyDescent="0.25">
      <c r="A40" s="10">
        <v>1</v>
      </c>
      <c r="B40" s="10">
        <v>2</v>
      </c>
      <c r="C40" s="12">
        <v>3</v>
      </c>
      <c r="D40" s="12"/>
      <c r="E40" s="12"/>
      <c r="F40" s="12"/>
      <c r="G40" s="12"/>
      <c r="H40" s="10">
        <v>4</v>
      </c>
      <c r="I40" s="12">
        <v>5</v>
      </c>
      <c r="J40" s="12"/>
      <c r="K40" s="12">
        <v>6</v>
      </c>
      <c r="L40" s="12"/>
      <c r="M40" s="12">
        <v>7</v>
      </c>
      <c r="N40" s="12"/>
      <c r="O40" s="12">
        <v>8</v>
      </c>
      <c r="P40" s="12"/>
    </row>
    <row r="41" spans="1:16" s="36" customFormat="1" ht="21" customHeight="1" x14ac:dyDescent="0.25">
      <c r="A41" s="37"/>
      <c r="B41" s="37">
        <v>1013160</v>
      </c>
      <c r="C41" s="38" t="s">
        <v>274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</row>
    <row r="42" spans="1:16" s="36" customFormat="1" ht="21" customHeight="1" x14ac:dyDescent="0.25">
      <c r="A42" s="37">
        <v>1</v>
      </c>
      <c r="B42" s="37"/>
      <c r="C42" s="47" t="s">
        <v>56</v>
      </c>
      <c r="D42" s="47"/>
      <c r="E42" s="47"/>
      <c r="F42" s="47"/>
      <c r="G42" s="47"/>
      <c r="H42" s="29"/>
      <c r="I42" s="28"/>
      <c r="J42" s="28"/>
      <c r="K42" s="28"/>
      <c r="L42" s="28"/>
      <c r="M42" s="28"/>
      <c r="N42" s="28"/>
      <c r="O42" s="28"/>
      <c r="P42" s="28"/>
    </row>
    <row r="43" spans="1:16" s="36" customFormat="1" ht="57" customHeight="1" x14ac:dyDescent="0.25">
      <c r="A43" s="37"/>
      <c r="B43" s="37"/>
      <c r="C43" s="15" t="s">
        <v>83</v>
      </c>
      <c r="D43" s="15"/>
      <c r="E43" s="15"/>
      <c r="F43" s="15"/>
      <c r="G43" s="15"/>
      <c r="H43" s="29" t="s">
        <v>58</v>
      </c>
      <c r="I43" s="28" t="s">
        <v>297</v>
      </c>
      <c r="J43" s="28"/>
      <c r="K43" s="30">
        <f>E21</f>
        <v>17.16</v>
      </c>
      <c r="L43" s="28"/>
      <c r="M43" s="30">
        <f>K21</f>
        <v>16.72</v>
      </c>
      <c r="N43" s="28"/>
      <c r="O43" s="30">
        <f>M43-K43</f>
        <v>-0.44000000000000128</v>
      </c>
      <c r="P43" s="28"/>
    </row>
    <row r="44" spans="1:16" s="36" customFormat="1" ht="17.25" customHeight="1" x14ac:dyDescent="0.25">
      <c r="A44" s="37">
        <v>2</v>
      </c>
      <c r="B44" s="37"/>
      <c r="C44" s="47" t="s">
        <v>64</v>
      </c>
      <c r="D44" s="47"/>
      <c r="E44" s="47"/>
      <c r="F44" s="47"/>
      <c r="G44" s="47"/>
      <c r="H44" s="29"/>
      <c r="I44" s="28"/>
      <c r="J44" s="28"/>
      <c r="K44" s="28"/>
      <c r="L44" s="28"/>
      <c r="M44" s="28"/>
      <c r="N44" s="28"/>
      <c r="O44" s="28"/>
      <c r="P44" s="28"/>
    </row>
    <row r="45" spans="1:16" s="36" customFormat="1" ht="33" customHeight="1" x14ac:dyDescent="0.25">
      <c r="A45" s="37"/>
      <c r="B45" s="37"/>
      <c r="C45" s="15" t="s">
        <v>187</v>
      </c>
      <c r="D45" s="15"/>
      <c r="E45" s="15"/>
      <c r="F45" s="15"/>
      <c r="G45" s="15"/>
      <c r="H45" s="29" t="s">
        <v>92</v>
      </c>
      <c r="I45" s="80" t="s">
        <v>114</v>
      </c>
      <c r="J45" s="81"/>
      <c r="K45" s="28">
        <f>K43/440*1000</f>
        <v>39</v>
      </c>
      <c r="L45" s="28"/>
      <c r="M45" s="28">
        <f>M43/440*1000</f>
        <v>38</v>
      </c>
      <c r="N45" s="28"/>
      <c r="O45" s="48">
        <f>M45-K45</f>
        <v>-1</v>
      </c>
      <c r="P45" s="48"/>
    </row>
    <row r="46" spans="1:16" s="36" customFormat="1" ht="18" customHeight="1" x14ac:dyDescent="0.25">
      <c r="A46" s="37">
        <v>3</v>
      </c>
      <c r="B46" s="37"/>
      <c r="C46" s="47" t="s">
        <v>68</v>
      </c>
      <c r="D46" s="47"/>
      <c r="E46" s="47"/>
      <c r="F46" s="47"/>
      <c r="G46" s="47"/>
      <c r="H46" s="29"/>
      <c r="I46" s="28"/>
      <c r="J46" s="28"/>
      <c r="K46" s="28"/>
      <c r="L46" s="28"/>
      <c r="M46" s="28"/>
      <c r="N46" s="28"/>
      <c r="O46" s="28"/>
      <c r="P46" s="28"/>
    </row>
    <row r="47" spans="1:16" s="36" customFormat="1" ht="18" customHeight="1" x14ac:dyDescent="0.25">
      <c r="A47" s="37"/>
      <c r="B47" s="37"/>
      <c r="C47" s="15" t="s">
        <v>188</v>
      </c>
      <c r="D47" s="15"/>
      <c r="E47" s="15"/>
      <c r="F47" s="15"/>
      <c r="G47" s="15"/>
      <c r="H47" s="29" t="s">
        <v>96</v>
      </c>
      <c r="I47" s="28" t="s">
        <v>72</v>
      </c>
      <c r="J47" s="28"/>
      <c r="K47" s="55">
        <f>K43/K45*1000</f>
        <v>440</v>
      </c>
      <c r="L47" s="55"/>
      <c r="M47" s="55">
        <f>M43/M45*1000</f>
        <v>439.99999999999994</v>
      </c>
      <c r="N47" s="55"/>
      <c r="O47" s="55">
        <f>K47-M47</f>
        <v>0</v>
      </c>
      <c r="P47" s="55"/>
    </row>
    <row r="48" spans="1:16" s="36" customFormat="1" ht="18" customHeight="1" x14ac:dyDescent="0.25">
      <c r="A48" s="37">
        <v>4</v>
      </c>
      <c r="B48" s="37"/>
      <c r="C48" s="38" t="s">
        <v>74</v>
      </c>
      <c r="D48" s="39"/>
      <c r="E48" s="39"/>
      <c r="F48" s="39"/>
      <c r="G48" s="40"/>
      <c r="H48" s="29"/>
      <c r="I48" s="28"/>
      <c r="J48" s="28"/>
      <c r="K48" s="55"/>
      <c r="L48" s="55"/>
      <c r="M48" s="55"/>
      <c r="N48" s="55"/>
      <c r="O48" s="55"/>
      <c r="P48" s="55"/>
    </row>
    <row r="49" spans="1:16" s="36" customFormat="1" ht="25.5" customHeight="1" x14ac:dyDescent="0.25">
      <c r="A49" s="37"/>
      <c r="B49" s="37"/>
      <c r="C49" s="52" t="s">
        <v>189</v>
      </c>
      <c r="D49" s="53"/>
      <c r="E49" s="53"/>
      <c r="F49" s="53"/>
      <c r="G49" s="54"/>
      <c r="H49" s="29" t="s">
        <v>77</v>
      </c>
      <c r="I49" s="28" t="s">
        <v>72</v>
      </c>
      <c r="J49" s="28"/>
      <c r="K49" s="55">
        <v>100</v>
      </c>
      <c r="L49" s="55"/>
      <c r="M49" s="55">
        <f>M45/K45*100</f>
        <v>97.435897435897431</v>
      </c>
      <c r="N49" s="55"/>
      <c r="O49" s="48">
        <f>M49-K49</f>
        <v>-2.5641025641025692</v>
      </c>
      <c r="P49" s="48"/>
    </row>
    <row r="50" spans="1:16" s="36" customFormat="1" ht="19.5" customHeight="1" x14ac:dyDescent="0.25">
      <c r="A50" s="38" t="s">
        <v>233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</row>
    <row r="51" spans="1:16" s="36" customFormat="1" ht="34.5" customHeight="1" x14ac:dyDescent="0.25">
      <c r="A51" s="52" t="s">
        <v>365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  <row r="52" spans="1:16" s="36" customFormat="1" ht="18" customHeight="1" x14ac:dyDescent="0.25">
      <c r="A52" s="47" t="s">
        <v>240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spans="1:16" s="36" customFormat="1" ht="21" customHeight="1" x14ac:dyDescent="0.25">
      <c r="A53" s="52" t="s">
        <v>366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  <row r="54" spans="1:16" s="82" customFormat="1" ht="16.5" customHeight="1" x14ac:dyDescent="0.25">
      <c r="H54" s="83"/>
    </row>
    <row r="55" spans="1:16" x14ac:dyDescent="0.25">
      <c r="A55" s="17" t="s">
        <v>40</v>
      </c>
      <c r="B55" s="23" t="s">
        <v>305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6" ht="12" customHeight="1" x14ac:dyDescent="0.25">
      <c r="P56" s="2" t="s">
        <v>16</v>
      </c>
    </row>
    <row r="57" spans="1:16" ht="33.75" customHeight="1" x14ac:dyDescent="0.25">
      <c r="A57" s="59" t="s">
        <v>41</v>
      </c>
      <c r="B57" s="60" t="s">
        <v>42</v>
      </c>
      <c r="C57" s="61"/>
      <c r="D57" s="59" t="s">
        <v>26</v>
      </c>
      <c r="E57" s="25" t="s">
        <v>43</v>
      </c>
      <c r="F57" s="25"/>
      <c r="G57" s="25"/>
      <c r="H57" s="25" t="s">
        <v>44</v>
      </c>
      <c r="I57" s="25"/>
      <c r="J57" s="25"/>
      <c r="K57" s="25" t="s">
        <v>45</v>
      </c>
      <c r="L57" s="25"/>
      <c r="M57" s="25"/>
      <c r="N57" s="25" t="s">
        <v>46</v>
      </c>
      <c r="O57" s="25"/>
      <c r="P57" s="25"/>
    </row>
    <row r="58" spans="1:16" ht="45" x14ac:dyDescent="0.25">
      <c r="A58" s="62"/>
      <c r="B58" s="63"/>
      <c r="C58" s="64"/>
      <c r="D58" s="62"/>
      <c r="E58" s="34" t="s">
        <v>19</v>
      </c>
      <c r="F58" s="34" t="s">
        <v>20</v>
      </c>
      <c r="G58" s="34" t="s">
        <v>21</v>
      </c>
      <c r="H58" s="34" t="s">
        <v>19</v>
      </c>
      <c r="I58" s="34" t="s">
        <v>20</v>
      </c>
      <c r="J58" s="34" t="s">
        <v>21</v>
      </c>
      <c r="K58" s="34" t="s">
        <v>19</v>
      </c>
      <c r="L58" s="34" t="s">
        <v>20</v>
      </c>
      <c r="M58" s="34" t="s">
        <v>21</v>
      </c>
      <c r="N58" s="34" t="s">
        <v>19</v>
      </c>
      <c r="O58" s="34" t="s">
        <v>20</v>
      </c>
      <c r="P58" s="34" t="s">
        <v>21</v>
      </c>
    </row>
    <row r="59" spans="1:16" s="4" customFormat="1" ht="8.25" customHeight="1" x14ac:dyDescent="0.25">
      <c r="A59" s="10">
        <v>1</v>
      </c>
      <c r="B59" s="12">
        <v>2</v>
      </c>
      <c r="C59" s="12"/>
      <c r="D59" s="10">
        <v>3</v>
      </c>
      <c r="E59" s="10">
        <v>4</v>
      </c>
      <c r="F59" s="10">
        <v>5</v>
      </c>
      <c r="G59" s="10">
        <v>6</v>
      </c>
      <c r="H59" s="10">
        <v>7</v>
      </c>
      <c r="I59" s="10">
        <v>8</v>
      </c>
      <c r="J59" s="10">
        <v>9</v>
      </c>
      <c r="K59" s="10">
        <v>10</v>
      </c>
      <c r="L59" s="10">
        <v>11</v>
      </c>
      <c r="M59" s="10">
        <v>12</v>
      </c>
      <c r="N59" s="10">
        <v>13</v>
      </c>
      <c r="O59" s="10">
        <v>14</v>
      </c>
      <c r="P59" s="10">
        <v>15</v>
      </c>
    </row>
    <row r="60" spans="1:16" x14ac:dyDescent="0.25">
      <c r="A60" s="57"/>
      <c r="B60" s="67"/>
      <c r="C60" s="68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</row>
    <row r="61" spans="1:16" ht="5.25" customHeight="1" x14ac:dyDescent="0.25"/>
    <row r="62" spans="1:16" ht="12" customHeight="1" x14ac:dyDescent="0.25">
      <c r="A62" s="23" t="s">
        <v>306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ht="10.5" customHeight="1" x14ac:dyDescent="0.25">
      <c r="A63" s="23" t="s">
        <v>307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6" ht="11.25" customHeight="1" x14ac:dyDescent="0.25">
      <c r="A64" s="23" t="s">
        <v>308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1:16" ht="18" customHeight="1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1:16" ht="32.25" customHeight="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8" spans="1:16" x14ac:dyDescent="0.25">
      <c r="A68" s="65" t="s">
        <v>47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5" t="s">
        <v>48</v>
      </c>
      <c r="N68" s="66"/>
      <c r="O68" s="66"/>
    </row>
    <row r="69" spans="1:16" x14ac:dyDescent="0.25">
      <c r="A69" s="6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5"/>
      <c r="N69" s="66"/>
      <c r="O69" s="66"/>
    </row>
    <row r="70" spans="1:16" ht="29.25" customHeight="1" x14ac:dyDescent="0.25">
      <c r="A70" s="6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5"/>
      <c r="N70" s="66"/>
      <c r="O70" s="66"/>
    </row>
    <row r="72" spans="1:16" x14ac:dyDescent="0.25">
      <c r="A72" s="65" t="str">
        <f>'1010'!A116</f>
        <v xml:space="preserve">Спеціаліст І категорії, бухгалтер управління освіти і науки 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 t="str">
        <f>'1010'!M116</f>
        <v>Ю.Філатова</v>
      </c>
    </row>
  </sheetData>
  <mergeCells count="124">
    <mergeCell ref="A62:P62"/>
    <mergeCell ref="A63:P63"/>
    <mergeCell ref="B60:C60"/>
    <mergeCell ref="A64:P64"/>
    <mergeCell ref="C48:G48"/>
    <mergeCell ref="C49:G49"/>
    <mergeCell ref="I48:J48"/>
    <mergeCell ref="I49:J49"/>
    <mergeCell ref="K48:L48"/>
    <mergeCell ref="K49:L49"/>
    <mergeCell ref="B55:P55"/>
    <mergeCell ref="A57:A58"/>
    <mergeCell ref="B57:C58"/>
    <mergeCell ref="D57:D58"/>
    <mergeCell ref="E57:G57"/>
    <mergeCell ref="H57:J57"/>
    <mergeCell ref="K57:M57"/>
    <mergeCell ref="N57:P57"/>
    <mergeCell ref="A50:P50"/>
    <mergeCell ref="A51:P51"/>
    <mergeCell ref="A52:P52"/>
    <mergeCell ref="A53:P53"/>
    <mergeCell ref="M48:N48"/>
    <mergeCell ref="M49:N49"/>
    <mergeCell ref="O48:P48"/>
    <mergeCell ref="O49:P49"/>
    <mergeCell ref="B59:C59"/>
    <mergeCell ref="C46:G46"/>
    <mergeCell ref="I46:J46"/>
    <mergeCell ref="K46:L46"/>
    <mergeCell ref="M46:N46"/>
    <mergeCell ref="O46:P46"/>
    <mergeCell ref="C47:G47"/>
    <mergeCell ref="I47:J47"/>
    <mergeCell ref="K47:L47"/>
    <mergeCell ref="M47:N47"/>
    <mergeCell ref="O47:P47"/>
    <mergeCell ref="C44:G44"/>
    <mergeCell ref="I44:J44"/>
    <mergeCell ref="K44:L44"/>
    <mergeCell ref="M44:N44"/>
    <mergeCell ref="O44:P44"/>
    <mergeCell ref="C45:G45"/>
    <mergeCell ref="I45:J45"/>
    <mergeCell ref="K45:L45"/>
    <mergeCell ref="M45:N45"/>
    <mergeCell ref="O45:P45"/>
    <mergeCell ref="C42:G42"/>
    <mergeCell ref="I42:J42"/>
    <mergeCell ref="K42:L42"/>
    <mergeCell ref="M42:N42"/>
    <mergeCell ref="O42:P42"/>
    <mergeCell ref="C43:G43"/>
    <mergeCell ref="I43:J43"/>
    <mergeCell ref="K43:L43"/>
    <mergeCell ref="M43:N43"/>
    <mergeCell ref="O43:P43"/>
    <mergeCell ref="C40:G40"/>
    <mergeCell ref="I40:J40"/>
    <mergeCell ref="K40:L40"/>
    <mergeCell ref="M40:N40"/>
    <mergeCell ref="O40:P40"/>
    <mergeCell ref="C41:P41"/>
    <mergeCell ref="A34:F34"/>
    <mergeCell ref="A35:F35"/>
    <mergeCell ref="B37:P37"/>
    <mergeCell ref="C39:G39"/>
    <mergeCell ref="I39:J39"/>
    <mergeCell ref="K39:L39"/>
    <mergeCell ref="M39:N39"/>
    <mergeCell ref="O39:P39"/>
    <mergeCell ref="Q25:S25"/>
    <mergeCell ref="T25:V25"/>
    <mergeCell ref="D27:F27"/>
    <mergeCell ref="D28:F28"/>
    <mergeCell ref="B30:P30"/>
    <mergeCell ref="A32:F33"/>
    <mergeCell ref="G32:I32"/>
    <mergeCell ref="J32:L32"/>
    <mergeCell ref="M32:O32"/>
    <mergeCell ref="P32:P33"/>
    <mergeCell ref="M21:N21"/>
    <mergeCell ref="B23:P23"/>
    <mergeCell ref="A25:A26"/>
    <mergeCell ref="B25:B26"/>
    <mergeCell ref="C25:C26"/>
    <mergeCell ref="D25:F26"/>
    <mergeCell ref="G25:I25"/>
    <mergeCell ref="J25:L25"/>
    <mergeCell ref="M25:O25"/>
    <mergeCell ref="P25:P26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C13:P13"/>
    <mergeCell ref="D14:P14"/>
    <mergeCell ref="D15:P15"/>
    <mergeCell ref="B16:P16"/>
    <mergeCell ref="A18:F18"/>
    <mergeCell ref="G18:L18"/>
    <mergeCell ref="M18:P18"/>
    <mergeCell ref="A6:P6"/>
    <mergeCell ref="A7:P7"/>
    <mergeCell ref="A8:P8"/>
    <mergeCell ref="C10:P10"/>
    <mergeCell ref="C11:P11"/>
    <mergeCell ref="C12:P12"/>
  </mergeCells>
  <pageMargins left="0.19685039370078741" right="0.19685039370078741" top="0.39370078740157483" bottom="0.19685039370078741" header="0.11811023622047245" footer="0.11811023622047245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72"/>
  <sheetViews>
    <sheetView view="pageBreakPreview" topLeftCell="A23" zoomScale="70" zoomScaleSheetLayoutView="70" workbookViewId="0">
      <selection activeCell="I43" sqref="I43:J43"/>
    </sheetView>
  </sheetViews>
  <sheetFormatPr defaultRowHeight="15" x14ac:dyDescent="0.25"/>
  <cols>
    <col min="1" max="1" width="5" style="17" customWidth="1"/>
    <col min="2" max="2" width="10.28515625" style="17" customWidth="1"/>
    <col min="3" max="3" width="9.140625" style="17" customWidth="1"/>
    <col min="4" max="4" width="7.140625" style="17" customWidth="1"/>
    <col min="5" max="5" width="7.85546875" style="17" customWidth="1"/>
    <col min="6" max="6" width="8.85546875" style="17" customWidth="1"/>
    <col min="7" max="8" width="14.42578125" style="17" customWidth="1"/>
    <col min="9" max="9" width="25.5703125" style="17" customWidth="1"/>
    <col min="10" max="10" width="22.7109375" style="17" customWidth="1"/>
    <col min="11" max="11" width="15.5703125" style="17" customWidth="1"/>
    <col min="12" max="12" width="15" style="17" customWidth="1"/>
    <col min="13" max="13" width="14.5703125" style="17" customWidth="1"/>
    <col min="14" max="14" width="13.42578125" style="17" customWidth="1"/>
    <col min="15" max="15" width="18" style="17" customWidth="1"/>
    <col min="16" max="16" width="38" style="17" customWidth="1"/>
    <col min="17" max="16384" width="9.140625" style="17"/>
  </cols>
  <sheetData>
    <row r="1" spans="1:16" ht="14.25" customHeight="1" x14ac:dyDescent="0.25">
      <c r="P1" s="5" t="s">
        <v>0</v>
      </c>
    </row>
    <row r="2" spans="1:16" ht="13.5" customHeight="1" x14ac:dyDescent="0.25">
      <c r="P2" s="5" t="s">
        <v>1</v>
      </c>
    </row>
    <row r="3" spans="1:16" ht="12.75" customHeight="1" x14ac:dyDescent="0.25">
      <c r="P3" s="5" t="s">
        <v>2</v>
      </c>
    </row>
    <row r="6" spans="1:16" ht="18.75" customHeight="1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17.25" customHeight="1" x14ac:dyDescent="0.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5.75" customHeight="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1.25" customHeight="1" x14ac:dyDescent="0.25"/>
    <row r="10" spans="1:16" ht="16.5" customHeight="1" x14ac:dyDescent="0.25">
      <c r="A10" s="19" t="s">
        <v>6</v>
      </c>
      <c r="B10" s="20">
        <v>1000000</v>
      </c>
      <c r="C10" s="21" t="s">
        <v>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2.75" customHeight="1" x14ac:dyDescent="0.25">
      <c r="B11" s="1" t="s">
        <v>7</v>
      </c>
      <c r="C11" s="13" t="s">
        <v>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8.75" customHeight="1" x14ac:dyDescent="0.25">
      <c r="A12" s="19" t="s">
        <v>9</v>
      </c>
      <c r="B12" s="20">
        <v>1010000</v>
      </c>
      <c r="C12" s="21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9.75" customHeight="1" x14ac:dyDescent="0.25">
      <c r="B13" s="1" t="s">
        <v>7</v>
      </c>
      <c r="C13" s="13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20.25" customHeight="1" x14ac:dyDescent="0.25">
      <c r="A14" s="19" t="s">
        <v>11</v>
      </c>
      <c r="B14" s="20">
        <v>1019120</v>
      </c>
      <c r="C14" s="22" t="s">
        <v>190</v>
      </c>
      <c r="D14" s="21" t="s">
        <v>191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1.25" customHeight="1" x14ac:dyDescent="0.25">
      <c r="B15" s="1" t="s">
        <v>7</v>
      </c>
      <c r="C15" s="1" t="s">
        <v>12</v>
      </c>
      <c r="D15" s="14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2.5" customHeight="1" x14ac:dyDescent="0.25">
      <c r="A16" s="19" t="s">
        <v>14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22" ht="10.5" customHeight="1" x14ac:dyDescent="0.25">
      <c r="P17" s="2" t="s">
        <v>16</v>
      </c>
    </row>
    <row r="18" spans="1:22" ht="33.75" customHeight="1" x14ac:dyDescent="0.25">
      <c r="A18" s="25" t="s">
        <v>17</v>
      </c>
      <c r="B18" s="25"/>
      <c r="C18" s="25"/>
      <c r="D18" s="25"/>
      <c r="E18" s="25"/>
      <c r="F18" s="25"/>
      <c r="G18" s="25" t="s">
        <v>18</v>
      </c>
      <c r="H18" s="25"/>
      <c r="I18" s="25"/>
      <c r="J18" s="25"/>
      <c r="K18" s="25"/>
      <c r="L18" s="25"/>
      <c r="M18" s="25" t="s">
        <v>22</v>
      </c>
      <c r="N18" s="25"/>
      <c r="O18" s="25"/>
      <c r="P18" s="25"/>
    </row>
    <row r="19" spans="1:22" ht="18" customHeight="1" x14ac:dyDescent="0.25">
      <c r="A19" s="26" t="s">
        <v>19</v>
      </c>
      <c r="B19" s="26"/>
      <c r="C19" s="26" t="s">
        <v>20</v>
      </c>
      <c r="D19" s="26"/>
      <c r="E19" s="26" t="s">
        <v>21</v>
      </c>
      <c r="F19" s="26"/>
      <c r="G19" s="26" t="s">
        <v>19</v>
      </c>
      <c r="H19" s="26"/>
      <c r="I19" s="26" t="s">
        <v>20</v>
      </c>
      <c r="J19" s="26"/>
      <c r="K19" s="26" t="s">
        <v>21</v>
      </c>
      <c r="L19" s="26"/>
      <c r="M19" s="26" t="s">
        <v>19</v>
      </c>
      <c r="N19" s="26"/>
      <c r="O19" s="27" t="s">
        <v>20</v>
      </c>
      <c r="P19" s="27" t="s">
        <v>21</v>
      </c>
    </row>
    <row r="20" spans="1:22" s="3" customFormat="1" ht="9" customHeight="1" x14ac:dyDescent="0.2">
      <c r="A20" s="12">
        <v>1</v>
      </c>
      <c r="B20" s="12"/>
      <c r="C20" s="12">
        <v>2</v>
      </c>
      <c r="D20" s="12"/>
      <c r="E20" s="12">
        <v>3</v>
      </c>
      <c r="F20" s="12"/>
      <c r="G20" s="12">
        <v>4</v>
      </c>
      <c r="H20" s="12"/>
      <c r="I20" s="12">
        <v>5</v>
      </c>
      <c r="J20" s="12"/>
      <c r="K20" s="12">
        <v>6</v>
      </c>
      <c r="L20" s="12"/>
      <c r="M20" s="12">
        <v>7</v>
      </c>
      <c r="N20" s="12"/>
      <c r="O20" s="10">
        <v>8</v>
      </c>
      <c r="P20" s="10">
        <v>9</v>
      </c>
    </row>
    <row r="21" spans="1:22" ht="18" customHeight="1" x14ac:dyDescent="0.25">
      <c r="A21" s="70">
        <v>0</v>
      </c>
      <c r="B21" s="70"/>
      <c r="C21" s="70">
        <f>2996000/1000</f>
        <v>2996</v>
      </c>
      <c r="D21" s="70"/>
      <c r="E21" s="70">
        <f>A21+C21</f>
        <v>2996</v>
      </c>
      <c r="F21" s="70"/>
      <c r="G21" s="70">
        <v>0</v>
      </c>
      <c r="H21" s="70"/>
      <c r="I21" s="70">
        <f>2948192/1000</f>
        <v>2948.192</v>
      </c>
      <c r="J21" s="70"/>
      <c r="K21" s="70">
        <f>G21+I21</f>
        <v>2948.192</v>
      </c>
      <c r="L21" s="70"/>
      <c r="M21" s="70">
        <f>A21-G21</f>
        <v>0</v>
      </c>
      <c r="N21" s="70"/>
      <c r="O21" s="71">
        <f>I21-C21</f>
        <v>-47.807999999999993</v>
      </c>
      <c r="P21" s="72">
        <f>M21+O21</f>
        <v>-47.807999999999993</v>
      </c>
    </row>
    <row r="22" spans="1:22" ht="9" customHeight="1" x14ac:dyDescent="0.25"/>
    <row r="23" spans="1:22" x14ac:dyDescent="0.25">
      <c r="A23" s="19" t="s">
        <v>23</v>
      </c>
      <c r="B23" s="23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22" ht="11.25" customHeight="1" x14ac:dyDescent="0.25">
      <c r="P24" s="2" t="s">
        <v>16</v>
      </c>
    </row>
    <row r="25" spans="1:22" ht="31.5" customHeight="1" x14ac:dyDescent="0.25">
      <c r="A25" s="25" t="s">
        <v>25</v>
      </c>
      <c r="B25" s="25" t="s">
        <v>26</v>
      </c>
      <c r="C25" s="25" t="s">
        <v>27</v>
      </c>
      <c r="D25" s="25" t="s">
        <v>298</v>
      </c>
      <c r="E25" s="25"/>
      <c r="F25" s="25"/>
      <c r="G25" s="25" t="s">
        <v>28</v>
      </c>
      <c r="H25" s="25"/>
      <c r="I25" s="25"/>
      <c r="J25" s="25" t="s">
        <v>29</v>
      </c>
      <c r="K25" s="25"/>
      <c r="L25" s="25"/>
      <c r="M25" s="25" t="s">
        <v>22</v>
      </c>
      <c r="N25" s="25"/>
      <c r="O25" s="25"/>
      <c r="P25" s="32" t="s">
        <v>30</v>
      </c>
      <c r="Q25" s="33"/>
      <c r="R25" s="33"/>
      <c r="S25" s="33"/>
      <c r="T25" s="33"/>
      <c r="U25" s="33"/>
      <c r="V25" s="33"/>
    </row>
    <row r="26" spans="1:22" ht="29.25" customHeight="1" x14ac:dyDescent="0.25">
      <c r="A26" s="25"/>
      <c r="B26" s="25"/>
      <c r="C26" s="25"/>
      <c r="D26" s="25"/>
      <c r="E26" s="25"/>
      <c r="F26" s="25"/>
      <c r="G26" s="34" t="s">
        <v>19</v>
      </c>
      <c r="H26" s="34" t="s">
        <v>20</v>
      </c>
      <c r="I26" s="34" t="s">
        <v>21</v>
      </c>
      <c r="J26" s="34" t="s">
        <v>19</v>
      </c>
      <c r="K26" s="34" t="s">
        <v>20</v>
      </c>
      <c r="L26" s="34" t="s">
        <v>21</v>
      </c>
      <c r="M26" s="34" t="s">
        <v>19</v>
      </c>
      <c r="N26" s="34" t="s">
        <v>20</v>
      </c>
      <c r="O26" s="34" t="s">
        <v>21</v>
      </c>
      <c r="P26" s="32"/>
    </row>
    <row r="27" spans="1:22" s="4" customFormat="1" ht="9" customHeight="1" x14ac:dyDescent="0.25">
      <c r="A27" s="10">
        <v>1</v>
      </c>
      <c r="B27" s="10">
        <v>2</v>
      </c>
      <c r="C27" s="10">
        <v>3</v>
      </c>
      <c r="D27" s="12">
        <v>4</v>
      </c>
      <c r="E27" s="12"/>
      <c r="F27" s="12"/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1">
        <v>14</v>
      </c>
    </row>
    <row r="28" spans="1:22" ht="58.5" customHeight="1" x14ac:dyDescent="0.25">
      <c r="A28" s="29">
        <v>1</v>
      </c>
      <c r="B28" s="29">
        <v>1019120</v>
      </c>
      <c r="C28" s="74" t="s">
        <v>190</v>
      </c>
      <c r="D28" s="47" t="s">
        <v>363</v>
      </c>
      <c r="E28" s="15"/>
      <c r="F28" s="15"/>
      <c r="G28" s="9">
        <f>A21</f>
        <v>0</v>
      </c>
      <c r="H28" s="9">
        <f>C21</f>
        <v>2996</v>
      </c>
      <c r="I28" s="9">
        <f>G28+H28</f>
        <v>2996</v>
      </c>
      <c r="J28" s="9">
        <f>G21</f>
        <v>0</v>
      </c>
      <c r="K28" s="9">
        <f>I21</f>
        <v>2948.192</v>
      </c>
      <c r="L28" s="9">
        <f>J28+K28</f>
        <v>2948.192</v>
      </c>
      <c r="M28" s="9">
        <f t="shared" ref="M28" si="0">G28-J28</f>
        <v>0</v>
      </c>
      <c r="N28" s="9">
        <f>K28-H28</f>
        <v>-47.807999999999993</v>
      </c>
      <c r="O28" s="9">
        <f>M28+N28</f>
        <v>-47.807999999999993</v>
      </c>
      <c r="P28" s="44" t="s">
        <v>364</v>
      </c>
    </row>
    <row r="29" spans="1:22" ht="9.75" customHeight="1" x14ac:dyDescent="0.25">
      <c r="D29" s="46"/>
      <c r="E29" s="46"/>
      <c r="F29" s="46"/>
    </row>
    <row r="30" spans="1:22" x14ac:dyDescent="0.25">
      <c r="A30" s="17" t="s">
        <v>31</v>
      </c>
      <c r="B30" s="23" t="s">
        <v>32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22" ht="11.25" customHeight="1" x14ac:dyDescent="0.25">
      <c r="P31" s="2" t="s">
        <v>16</v>
      </c>
    </row>
    <row r="32" spans="1:22" ht="30" customHeight="1" x14ac:dyDescent="0.25">
      <c r="A32" s="25" t="s">
        <v>33</v>
      </c>
      <c r="B32" s="25"/>
      <c r="C32" s="25"/>
      <c r="D32" s="25"/>
      <c r="E32" s="25"/>
      <c r="F32" s="25"/>
      <c r="G32" s="25" t="s">
        <v>28</v>
      </c>
      <c r="H32" s="25"/>
      <c r="I32" s="25"/>
      <c r="J32" s="25" t="s">
        <v>29</v>
      </c>
      <c r="K32" s="25"/>
      <c r="L32" s="25"/>
      <c r="M32" s="25" t="s">
        <v>22</v>
      </c>
      <c r="N32" s="25"/>
      <c r="O32" s="25"/>
      <c r="P32" s="25" t="s">
        <v>30</v>
      </c>
    </row>
    <row r="33" spans="1:16" ht="30" customHeight="1" x14ac:dyDescent="0.25">
      <c r="A33" s="25"/>
      <c r="B33" s="25"/>
      <c r="C33" s="25"/>
      <c r="D33" s="25"/>
      <c r="E33" s="25"/>
      <c r="F33" s="25"/>
      <c r="G33" s="34" t="s">
        <v>19</v>
      </c>
      <c r="H33" s="34" t="s">
        <v>20</v>
      </c>
      <c r="I33" s="34" t="s">
        <v>21</v>
      </c>
      <c r="J33" s="34" t="s">
        <v>19</v>
      </c>
      <c r="K33" s="34" t="s">
        <v>20</v>
      </c>
      <c r="L33" s="34" t="s">
        <v>21</v>
      </c>
      <c r="M33" s="34" t="s">
        <v>19</v>
      </c>
      <c r="N33" s="34" t="s">
        <v>20</v>
      </c>
      <c r="O33" s="34" t="s">
        <v>21</v>
      </c>
      <c r="P33" s="25"/>
    </row>
    <row r="34" spans="1:16" s="4" customFormat="1" ht="10.5" x14ac:dyDescent="0.25">
      <c r="A34" s="12">
        <v>1</v>
      </c>
      <c r="B34" s="12"/>
      <c r="C34" s="12"/>
      <c r="D34" s="12"/>
      <c r="E34" s="12"/>
      <c r="F34" s="12"/>
      <c r="G34" s="10">
        <v>2</v>
      </c>
      <c r="H34" s="10">
        <v>3</v>
      </c>
      <c r="I34" s="10">
        <v>4</v>
      </c>
      <c r="J34" s="10">
        <v>5</v>
      </c>
      <c r="K34" s="10">
        <v>6</v>
      </c>
      <c r="L34" s="10">
        <v>7</v>
      </c>
      <c r="M34" s="10">
        <v>8</v>
      </c>
      <c r="N34" s="10">
        <v>9</v>
      </c>
      <c r="O34" s="10">
        <v>10</v>
      </c>
      <c r="P34" s="10">
        <v>11</v>
      </c>
    </row>
    <row r="35" spans="1:16" ht="48" customHeight="1" x14ac:dyDescent="0.25">
      <c r="A35" s="52" t="s">
        <v>54</v>
      </c>
      <c r="B35" s="53"/>
      <c r="C35" s="53"/>
      <c r="D35" s="53"/>
      <c r="E35" s="53"/>
      <c r="F35" s="54"/>
      <c r="G35" s="9">
        <f>G28</f>
        <v>0</v>
      </c>
      <c r="H35" s="9">
        <f>H28</f>
        <v>2996</v>
      </c>
      <c r="I35" s="9">
        <f>G35+H35</f>
        <v>2996</v>
      </c>
      <c r="J35" s="9">
        <f>J28</f>
        <v>0</v>
      </c>
      <c r="K35" s="9">
        <f>K28</f>
        <v>2948.192</v>
      </c>
      <c r="L35" s="9">
        <f>J35+K35</f>
        <v>2948.192</v>
      </c>
      <c r="M35" s="9">
        <f>G35-J35</f>
        <v>0</v>
      </c>
      <c r="N35" s="9">
        <f>H35-K35</f>
        <v>47.807999999999993</v>
      </c>
      <c r="O35" s="9">
        <f>M35+N35</f>
        <v>47.807999999999993</v>
      </c>
      <c r="P35" s="6" t="s">
        <v>364</v>
      </c>
    </row>
    <row r="36" spans="1:16" ht="12.75" customHeight="1" x14ac:dyDescent="0.25"/>
    <row r="37" spans="1:16" x14ac:dyDescent="0.25">
      <c r="A37" s="17" t="s">
        <v>34</v>
      </c>
      <c r="B37" s="23" t="s">
        <v>35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ht="11.25" customHeight="1" x14ac:dyDescent="0.25">
      <c r="P38" s="2" t="s">
        <v>16</v>
      </c>
    </row>
    <row r="39" spans="1:16" ht="45" customHeight="1" x14ac:dyDescent="0.25">
      <c r="A39" s="34" t="s">
        <v>25</v>
      </c>
      <c r="B39" s="34" t="s">
        <v>26</v>
      </c>
      <c r="C39" s="25" t="s">
        <v>36</v>
      </c>
      <c r="D39" s="25"/>
      <c r="E39" s="25"/>
      <c r="F39" s="25"/>
      <c r="G39" s="25"/>
      <c r="H39" s="34" t="s">
        <v>37</v>
      </c>
      <c r="I39" s="25" t="s">
        <v>38</v>
      </c>
      <c r="J39" s="25"/>
      <c r="K39" s="25" t="s">
        <v>28</v>
      </c>
      <c r="L39" s="25"/>
      <c r="M39" s="25" t="s">
        <v>39</v>
      </c>
      <c r="N39" s="25"/>
      <c r="O39" s="25" t="s">
        <v>22</v>
      </c>
      <c r="P39" s="25"/>
    </row>
    <row r="40" spans="1:16" s="4" customFormat="1" ht="11.25" customHeight="1" x14ac:dyDescent="0.25">
      <c r="A40" s="10">
        <v>1</v>
      </c>
      <c r="B40" s="10">
        <v>2</v>
      </c>
      <c r="C40" s="12">
        <v>3</v>
      </c>
      <c r="D40" s="12"/>
      <c r="E40" s="12"/>
      <c r="F40" s="12"/>
      <c r="G40" s="12"/>
      <c r="H40" s="10">
        <v>4</v>
      </c>
      <c r="I40" s="12">
        <v>5</v>
      </c>
      <c r="J40" s="12"/>
      <c r="K40" s="12">
        <v>6</v>
      </c>
      <c r="L40" s="12"/>
      <c r="M40" s="12">
        <v>7</v>
      </c>
      <c r="N40" s="12"/>
      <c r="O40" s="12">
        <v>8</v>
      </c>
      <c r="P40" s="12"/>
    </row>
    <row r="41" spans="1:16" s="36" customFormat="1" ht="18" customHeight="1" x14ac:dyDescent="0.25">
      <c r="A41" s="37"/>
      <c r="B41" s="37">
        <v>1019120</v>
      </c>
      <c r="C41" s="38" t="s">
        <v>192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</row>
    <row r="42" spans="1:16" s="36" customFormat="1" ht="15.75" customHeight="1" x14ac:dyDescent="0.25">
      <c r="A42" s="37">
        <v>1</v>
      </c>
      <c r="B42" s="37"/>
      <c r="C42" s="47" t="s">
        <v>56</v>
      </c>
      <c r="D42" s="47"/>
      <c r="E42" s="47"/>
      <c r="F42" s="47"/>
      <c r="G42" s="47"/>
      <c r="H42" s="29"/>
      <c r="I42" s="28"/>
      <c r="J42" s="28"/>
      <c r="K42" s="28"/>
      <c r="L42" s="28"/>
      <c r="M42" s="28"/>
      <c r="N42" s="28"/>
      <c r="O42" s="28"/>
      <c r="P42" s="28"/>
    </row>
    <row r="43" spans="1:16" s="36" customFormat="1" ht="72" customHeight="1" x14ac:dyDescent="0.25">
      <c r="A43" s="37"/>
      <c r="B43" s="37"/>
      <c r="C43" s="15" t="s">
        <v>83</v>
      </c>
      <c r="D43" s="15"/>
      <c r="E43" s="15"/>
      <c r="F43" s="15"/>
      <c r="G43" s="15"/>
      <c r="H43" s="29" t="s">
        <v>58</v>
      </c>
      <c r="I43" s="28" t="s">
        <v>297</v>
      </c>
      <c r="J43" s="28"/>
      <c r="K43" s="30">
        <f>E21</f>
        <v>2996</v>
      </c>
      <c r="L43" s="28"/>
      <c r="M43" s="30">
        <f>K21</f>
        <v>2948.192</v>
      </c>
      <c r="N43" s="28"/>
      <c r="O43" s="30">
        <f>M43-K43</f>
        <v>-47.807999999999993</v>
      </c>
      <c r="P43" s="28"/>
    </row>
    <row r="44" spans="1:16" s="36" customFormat="1" ht="17.25" customHeight="1" x14ac:dyDescent="0.25">
      <c r="A44" s="37">
        <v>2</v>
      </c>
      <c r="B44" s="37"/>
      <c r="C44" s="47" t="s">
        <v>64</v>
      </c>
      <c r="D44" s="47"/>
      <c r="E44" s="47"/>
      <c r="F44" s="47"/>
      <c r="G44" s="47"/>
      <c r="H44" s="29"/>
      <c r="I44" s="28"/>
      <c r="J44" s="28"/>
      <c r="K44" s="28"/>
      <c r="L44" s="28"/>
      <c r="M44" s="28"/>
      <c r="N44" s="28"/>
      <c r="O44" s="28"/>
      <c r="P44" s="28"/>
    </row>
    <row r="45" spans="1:16" s="36" customFormat="1" ht="13.5" customHeight="1" x14ac:dyDescent="0.25">
      <c r="A45" s="37"/>
      <c r="B45" s="37"/>
      <c r="C45" s="15" t="s">
        <v>193</v>
      </c>
      <c r="D45" s="15"/>
      <c r="E45" s="15"/>
      <c r="F45" s="15"/>
      <c r="G45" s="15"/>
      <c r="H45" s="29" t="s">
        <v>92</v>
      </c>
      <c r="I45" s="80" t="s">
        <v>114</v>
      </c>
      <c r="J45" s="81"/>
      <c r="K45" s="28">
        <v>428</v>
      </c>
      <c r="L45" s="28"/>
      <c r="M45" s="55">
        <f>M43/7000*1000</f>
        <v>421.17028571428574</v>
      </c>
      <c r="N45" s="55"/>
      <c r="O45" s="48">
        <f>M45-K45</f>
        <v>-6.8297142857142603</v>
      </c>
      <c r="P45" s="48"/>
    </row>
    <row r="46" spans="1:16" s="36" customFormat="1" ht="18" customHeight="1" x14ac:dyDescent="0.25">
      <c r="A46" s="37">
        <v>3</v>
      </c>
      <c r="B46" s="37"/>
      <c r="C46" s="47" t="s">
        <v>68</v>
      </c>
      <c r="D46" s="47"/>
      <c r="E46" s="47"/>
      <c r="F46" s="47"/>
      <c r="G46" s="47"/>
      <c r="H46" s="29"/>
      <c r="I46" s="28"/>
      <c r="J46" s="28"/>
      <c r="K46" s="28"/>
      <c r="L46" s="28"/>
      <c r="M46" s="28"/>
      <c r="N46" s="28"/>
      <c r="O46" s="28"/>
      <c r="P46" s="28"/>
    </row>
    <row r="47" spans="1:16" s="36" customFormat="1" ht="18" customHeight="1" x14ac:dyDescent="0.25">
      <c r="A47" s="37"/>
      <c r="B47" s="37"/>
      <c r="C47" s="15" t="s">
        <v>194</v>
      </c>
      <c r="D47" s="15"/>
      <c r="E47" s="15"/>
      <c r="F47" s="15"/>
      <c r="G47" s="15"/>
      <c r="H47" s="29" t="s">
        <v>96</v>
      </c>
      <c r="I47" s="28" t="s">
        <v>72</v>
      </c>
      <c r="J47" s="28"/>
      <c r="K47" s="55">
        <f>K43/K45*1000</f>
        <v>7000</v>
      </c>
      <c r="L47" s="55"/>
      <c r="M47" s="55">
        <f>M43/M45*1000</f>
        <v>7000</v>
      </c>
      <c r="N47" s="55"/>
      <c r="O47" s="55">
        <f>K47-M47</f>
        <v>0</v>
      </c>
      <c r="P47" s="55"/>
    </row>
    <row r="48" spans="1:16" s="36" customFormat="1" ht="18" customHeight="1" x14ac:dyDescent="0.25">
      <c r="A48" s="37">
        <v>4</v>
      </c>
      <c r="B48" s="37"/>
      <c r="C48" s="38" t="s">
        <v>74</v>
      </c>
      <c r="D48" s="39"/>
      <c r="E48" s="39"/>
      <c r="F48" s="39"/>
      <c r="G48" s="40"/>
      <c r="H48" s="29"/>
      <c r="I48" s="28"/>
      <c r="J48" s="28"/>
      <c r="K48" s="55"/>
      <c r="L48" s="55"/>
      <c r="M48" s="55"/>
      <c r="N48" s="55"/>
      <c r="O48" s="55"/>
      <c r="P48" s="55"/>
    </row>
    <row r="49" spans="1:16" s="36" customFormat="1" ht="27" customHeight="1" x14ac:dyDescent="0.25">
      <c r="A49" s="37"/>
      <c r="B49" s="37"/>
      <c r="C49" s="52" t="s">
        <v>195</v>
      </c>
      <c r="D49" s="53"/>
      <c r="E49" s="53"/>
      <c r="F49" s="53"/>
      <c r="G49" s="54"/>
      <c r="H49" s="29" t="s">
        <v>77</v>
      </c>
      <c r="I49" s="28" t="s">
        <v>72</v>
      </c>
      <c r="J49" s="28"/>
      <c r="K49" s="55">
        <v>100</v>
      </c>
      <c r="L49" s="55"/>
      <c r="M49" s="55">
        <f>M43/K43*100</f>
        <v>98.404272363150866</v>
      </c>
      <c r="N49" s="55"/>
      <c r="O49" s="48">
        <f>M49-K49</f>
        <v>-1.5957276368491335</v>
      </c>
      <c r="P49" s="48"/>
    </row>
    <row r="50" spans="1:16" s="36" customFormat="1" ht="18.75" customHeight="1" x14ac:dyDescent="0.25">
      <c r="A50" s="38" t="s">
        <v>233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</row>
    <row r="51" spans="1:16" s="36" customFormat="1" ht="49.5" customHeight="1" x14ac:dyDescent="0.25">
      <c r="A51" s="52" t="s">
        <v>275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  <row r="52" spans="1:16" s="36" customFormat="1" ht="20.25" customHeight="1" x14ac:dyDescent="0.25">
      <c r="A52" s="47" t="s">
        <v>240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spans="1:16" s="36" customFormat="1" ht="18.75" customHeight="1" x14ac:dyDescent="0.25">
      <c r="A53" s="52" t="s">
        <v>369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  <row r="54" spans="1:16" s="82" customFormat="1" ht="16.5" customHeight="1" x14ac:dyDescent="0.25">
      <c r="H54" s="83"/>
    </row>
    <row r="55" spans="1:16" x14ac:dyDescent="0.25">
      <c r="A55" s="17" t="s">
        <v>40</v>
      </c>
      <c r="B55" s="23" t="s">
        <v>305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6" ht="12" customHeight="1" x14ac:dyDescent="0.25">
      <c r="P56" s="2" t="s">
        <v>16</v>
      </c>
    </row>
    <row r="57" spans="1:16" ht="33.75" customHeight="1" x14ac:dyDescent="0.25">
      <c r="A57" s="59" t="s">
        <v>41</v>
      </c>
      <c r="B57" s="60" t="s">
        <v>42</v>
      </c>
      <c r="C57" s="61"/>
      <c r="D57" s="59" t="s">
        <v>26</v>
      </c>
      <c r="E57" s="25" t="s">
        <v>43</v>
      </c>
      <c r="F57" s="25"/>
      <c r="G57" s="25"/>
      <c r="H57" s="25" t="s">
        <v>44</v>
      </c>
      <c r="I57" s="25"/>
      <c r="J57" s="25"/>
      <c r="K57" s="25" t="s">
        <v>45</v>
      </c>
      <c r="L57" s="25"/>
      <c r="M57" s="25"/>
      <c r="N57" s="25" t="s">
        <v>46</v>
      </c>
      <c r="O57" s="25"/>
      <c r="P57" s="25"/>
    </row>
    <row r="58" spans="1:16" ht="45" x14ac:dyDescent="0.25">
      <c r="A58" s="62"/>
      <c r="B58" s="63"/>
      <c r="C58" s="64"/>
      <c r="D58" s="62"/>
      <c r="E58" s="34" t="s">
        <v>19</v>
      </c>
      <c r="F58" s="34" t="s">
        <v>20</v>
      </c>
      <c r="G58" s="34" t="s">
        <v>21</v>
      </c>
      <c r="H58" s="34" t="s">
        <v>19</v>
      </c>
      <c r="I58" s="34" t="s">
        <v>20</v>
      </c>
      <c r="J58" s="34" t="s">
        <v>21</v>
      </c>
      <c r="K58" s="34" t="s">
        <v>19</v>
      </c>
      <c r="L58" s="34" t="s">
        <v>20</v>
      </c>
      <c r="M58" s="34" t="s">
        <v>21</v>
      </c>
      <c r="N58" s="34" t="s">
        <v>19</v>
      </c>
      <c r="O58" s="34" t="s">
        <v>20</v>
      </c>
      <c r="P58" s="34" t="s">
        <v>21</v>
      </c>
    </row>
    <row r="59" spans="1:16" s="4" customFormat="1" ht="8.25" customHeight="1" x14ac:dyDescent="0.25">
      <c r="A59" s="10">
        <v>1</v>
      </c>
      <c r="B59" s="12">
        <v>2</v>
      </c>
      <c r="C59" s="12"/>
      <c r="D59" s="10">
        <v>3</v>
      </c>
      <c r="E59" s="10">
        <v>4</v>
      </c>
      <c r="F59" s="10">
        <v>5</v>
      </c>
      <c r="G59" s="10">
        <v>6</v>
      </c>
      <c r="H59" s="10">
        <v>7</v>
      </c>
      <c r="I59" s="10">
        <v>8</v>
      </c>
      <c r="J59" s="10">
        <v>9</v>
      </c>
      <c r="K59" s="10">
        <v>10</v>
      </c>
      <c r="L59" s="10">
        <v>11</v>
      </c>
      <c r="M59" s="10">
        <v>12</v>
      </c>
      <c r="N59" s="10">
        <v>13</v>
      </c>
      <c r="O59" s="10">
        <v>14</v>
      </c>
      <c r="P59" s="10">
        <v>15</v>
      </c>
    </row>
    <row r="60" spans="1:16" x14ac:dyDescent="0.25">
      <c r="A60" s="57"/>
      <c r="B60" s="67"/>
      <c r="C60" s="68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</row>
    <row r="61" spans="1:16" ht="5.25" customHeight="1" x14ac:dyDescent="0.25"/>
    <row r="62" spans="1:16" ht="12" customHeight="1" x14ac:dyDescent="0.25">
      <c r="A62" s="23" t="s">
        <v>306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ht="10.5" customHeight="1" x14ac:dyDescent="0.25">
      <c r="A63" s="23" t="s">
        <v>307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6" ht="11.25" customHeight="1" x14ac:dyDescent="0.25">
      <c r="A64" s="23" t="s">
        <v>308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1:16" ht="18" customHeight="1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1:16" ht="25.5" customHeight="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8" spans="1:16" x14ac:dyDescent="0.25">
      <c r="A68" s="65" t="s">
        <v>47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5" t="s">
        <v>48</v>
      </c>
      <c r="N68" s="66"/>
      <c r="O68" s="66"/>
    </row>
    <row r="69" spans="1:16" x14ac:dyDescent="0.25">
      <c r="A69" s="6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5"/>
      <c r="N69" s="66"/>
      <c r="O69" s="66"/>
    </row>
    <row r="70" spans="1:16" ht="27" customHeight="1" x14ac:dyDescent="0.25">
      <c r="A70" s="6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5"/>
      <c r="N70" s="66"/>
      <c r="O70" s="66"/>
    </row>
    <row r="72" spans="1:16" x14ac:dyDescent="0.25">
      <c r="A72" s="65" t="str">
        <f>'1010'!A116</f>
        <v xml:space="preserve">Спеціаліст І категорії, бухгалтер управління освіти і науки 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 t="str">
        <f>'1010'!M116</f>
        <v>Ю.Філатова</v>
      </c>
    </row>
  </sheetData>
  <mergeCells count="124">
    <mergeCell ref="A50:P50"/>
    <mergeCell ref="A51:P51"/>
    <mergeCell ref="A52:P52"/>
    <mergeCell ref="A53:P53"/>
    <mergeCell ref="B59:C59"/>
    <mergeCell ref="A62:P62"/>
    <mergeCell ref="A63:P63"/>
    <mergeCell ref="A64:P64"/>
    <mergeCell ref="B55:P55"/>
    <mergeCell ref="A57:A58"/>
    <mergeCell ref="B57:C58"/>
    <mergeCell ref="D57:D58"/>
    <mergeCell ref="E57:G57"/>
    <mergeCell ref="H57:J57"/>
    <mergeCell ref="K57:M57"/>
    <mergeCell ref="N57:P57"/>
    <mergeCell ref="B60:C60"/>
    <mergeCell ref="C48:G48"/>
    <mergeCell ref="I48:J48"/>
    <mergeCell ref="K48:L48"/>
    <mergeCell ref="M48:N48"/>
    <mergeCell ref="O48:P48"/>
    <mergeCell ref="C49:G49"/>
    <mergeCell ref="I49:J49"/>
    <mergeCell ref="K49:L49"/>
    <mergeCell ref="M49:N49"/>
    <mergeCell ref="O49:P49"/>
    <mergeCell ref="C46:G46"/>
    <mergeCell ref="I46:J46"/>
    <mergeCell ref="K46:L46"/>
    <mergeCell ref="M46:N46"/>
    <mergeCell ref="O46:P46"/>
    <mergeCell ref="C47:G47"/>
    <mergeCell ref="I47:J47"/>
    <mergeCell ref="K47:L47"/>
    <mergeCell ref="M47:N47"/>
    <mergeCell ref="O47:P47"/>
    <mergeCell ref="C44:G44"/>
    <mergeCell ref="I44:J44"/>
    <mergeCell ref="K44:L44"/>
    <mergeCell ref="M44:N44"/>
    <mergeCell ref="O44:P44"/>
    <mergeCell ref="C45:G45"/>
    <mergeCell ref="I45:J45"/>
    <mergeCell ref="K45:L45"/>
    <mergeCell ref="M45:N45"/>
    <mergeCell ref="O45:P45"/>
    <mergeCell ref="C42:G42"/>
    <mergeCell ref="I42:J42"/>
    <mergeCell ref="K42:L42"/>
    <mergeCell ref="M42:N42"/>
    <mergeCell ref="O42:P42"/>
    <mergeCell ref="C43:G43"/>
    <mergeCell ref="I43:J43"/>
    <mergeCell ref="K43:L43"/>
    <mergeCell ref="M43:N43"/>
    <mergeCell ref="O43:P43"/>
    <mergeCell ref="C40:G40"/>
    <mergeCell ref="I40:J40"/>
    <mergeCell ref="K40:L40"/>
    <mergeCell ref="M40:N40"/>
    <mergeCell ref="O40:P40"/>
    <mergeCell ref="C41:P41"/>
    <mergeCell ref="A34:F34"/>
    <mergeCell ref="A35:F35"/>
    <mergeCell ref="B37:P37"/>
    <mergeCell ref="C39:G39"/>
    <mergeCell ref="I39:J39"/>
    <mergeCell ref="K39:L39"/>
    <mergeCell ref="M39:N39"/>
    <mergeCell ref="O39:P39"/>
    <mergeCell ref="Q25:S25"/>
    <mergeCell ref="T25:V25"/>
    <mergeCell ref="D27:F27"/>
    <mergeCell ref="D28:F28"/>
    <mergeCell ref="B30:P30"/>
    <mergeCell ref="A32:F33"/>
    <mergeCell ref="G32:I32"/>
    <mergeCell ref="J32:L32"/>
    <mergeCell ref="M32:O32"/>
    <mergeCell ref="P32:P33"/>
    <mergeCell ref="M21:N21"/>
    <mergeCell ref="B23:P23"/>
    <mergeCell ref="A25:A26"/>
    <mergeCell ref="B25:B26"/>
    <mergeCell ref="C25:C26"/>
    <mergeCell ref="D25:F26"/>
    <mergeCell ref="G25:I25"/>
    <mergeCell ref="J25:L25"/>
    <mergeCell ref="M25:O25"/>
    <mergeCell ref="P25:P26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C13:P13"/>
    <mergeCell ref="D14:P14"/>
    <mergeCell ref="D15:P15"/>
    <mergeCell ref="B16:P16"/>
    <mergeCell ref="A18:F18"/>
    <mergeCell ref="G18:L18"/>
    <mergeCell ref="M18:P18"/>
    <mergeCell ref="A6:P6"/>
    <mergeCell ref="A7:P7"/>
    <mergeCell ref="A8:P8"/>
    <mergeCell ref="C10:P10"/>
    <mergeCell ref="C11:P11"/>
    <mergeCell ref="C12:P12"/>
  </mergeCells>
  <pageMargins left="0.19685039370078741" right="0.19685039370078741" top="0.39370078740157483" bottom="0.19685039370078741" header="0.11811023622047245" footer="0.11811023622047245"/>
  <pageSetup paperSize="9"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85"/>
  <sheetViews>
    <sheetView view="pageBreakPreview" topLeftCell="A29" zoomScale="70" zoomScaleSheetLayoutView="70" workbookViewId="0">
      <selection activeCell="M86" sqref="M86"/>
    </sheetView>
  </sheetViews>
  <sheetFormatPr defaultRowHeight="15" x14ac:dyDescent="0.25"/>
  <cols>
    <col min="1" max="1" width="5" style="17" customWidth="1"/>
    <col min="2" max="2" width="10.28515625" style="17" customWidth="1"/>
    <col min="3" max="3" width="9.140625" style="17" customWidth="1"/>
    <col min="4" max="4" width="7.140625" style="17" customWidth="1"/>
    <col min="5" max="5" width="7.85546875" style="17" customWidth="1"/>
    <col min="6" max="6" width="8.85546875" style="17" customWidth="1"/>
    <col min="7" max="8" width="14.42578125" style="17" customWidth="1"/>
    <col min="9" max="9" width="22.85546875" style="17" customWidth="1"/>
    <col min="10" max="10" width="20.28515625" style="17" customWidth="1"/>
    <col min="11" max="11" width="19.7109375" style="17" customWidth="1"/>
    <col min="12" max="12" width="18.7109375" style="17" customWidth="1"/>
    <col min="13" max="13" width="14.5703125" style="17" customWidth="1"/>
    <col min="14" max="14" width="13.42578125" style="17" customWidth="1"/>
    <col min="15" max="15" width="18" style="17" customWidth="1"/>
    <col min="16" max="16" width="38" style="17" customWidth="1"/>
    <col min="17" max="16384" width="9.140625" style="17"/>
  </cols>
  <sheetData>
    <row r="1" spans="1:16" ht="14.25" customHeight="1" x14ac:dyDescent="0.25">
      <c r="P1" s="5" t="s">
        <v>0</v>
      </c>
    </row>
    <row r="2" spans="1:16" ht="13.5" customHeight="1" x14ac:dyDescent="0.25">
      <c r="P2" s="5" t="s">
        <v>1</v>
      </c>
    </row>
    <row r="3" spans="1:16" ht="12.75" customHeight="1" x14ac:dyDescent="0.25">
      <c r="P3" s="5" t="s">
        <v>2</v>
      </c>
    </row>
    <row r="6" spans="1:16" ht="19.5" customHeight="1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24" customHeight="1" x14ac:dyDescent="0.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5.75" customHeight="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1.25" customHeight="1" x14ac:dyDescent="0.25"/>
    <row r="10" spans="1:16" ht="21.75" customHeight="1" x14ac:dyDescent="0.25">
      <c r="A10" s="19" t="s">
        <v>6</v>
      </c>
      <c r="B10" s="20">
        <v>1000000</v>
      </c>
      <c r="C10" s="21" t="s">
        <v>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2.75" customHeight="1" x14ac:dyDescent="0.25">
      <c r="B11" s="1" t="s">
        <v>7</v>
      </c>
      <c r="C11" s="13" t="s">
        <v>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9.5" customHeight="1" x14ac:dyDescent="0.25">
      <c r="A12" s="19" t="s">
        <v>9</v>
      </c>
      <c r="B12" s="20">
        <v>1010000</v>
      </c>
      <c r="C12" s="21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9.75" customHeight="1" x14ac:dyDescent="0.25">
      <c r="B13" s="1" t="s">
        <v>7</v>
      </c>
      <c r="C13" s="13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8" customHeight="1" x14ac:dyDescent="0.25">
      <c r="A14" s="19" t="s">
        <v>11</v>
      </c>
      <c r="B14" s="20">
        <v>1016310</v>
      </c>
      <c r="C14" s="22" t="s">
        <v>196</v>
      </c>
      <c r="D14" s="21" t="s">
        <v>197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1.25" customHeight="1" x14ac:dyDescent="0.25">
      <c r="B15" s="1" t="s">
        <v>7</v>
      </c>
      <c r="C15" s="1" t="s">
        <v>12</v>
      </c>
      <c r="D15" s="14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2.5" customHeight="1" x14ac:dyDescent="0.25">
      <c r="A16" s="19" t="s">
        <v>14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22" ht="10.5" customHeight="1" x14ac:dyDescent="0.25">
      <c r="P17" s="2" t="s">
        <v>16</v>
      </c>
    </row>
    <row r="18" spans="1:22" ht="34.5" customHeight="1" x14ac:dyDescent="0.25">
      <c r="A18" s="25" t="s">
        <v>17</v>
      </c>
      <c r="B18" s="25"/>
      <c r="C18" s="25"/>
      <c r="D18" s="25"/>
      <c r="E18" s="25"/>
      <c r="F18" s="25"/>
      <c r="G18" s="25" t="s">
        <v>18</v>
      </c>
      <c r="H18" s="25"/>
      <c r="I18" s="25"/>
      <c r="J18" s="25"/>
      <c r="K18" s="25"/>
      <c r="L18" s="25"/>
      <c r="M18" s="25" t="s">
        <v>22</v>
      </c>
      <c r="N18" s="25"/>
      <c r="O18" s="25"/>
      <c r="P18" s="25"/>
    </row>
    <row r="19" spans="1:22" ht="24.75" customHeight="1" x14ac:dyDescent="0.25">
      <c r="A19" s="26" t="s">
        <v>19</v>
      </c>
      <c r="B19" s="26"/>
      <c r="C19" s="26" t="s">
        <v>20</v>
      </c>
      <c r="D19" s="26"/>
      <c r="E19" s="26" t="s">
        <v>21</v>
      </c>
      <c r="F19" s="26"/>
      <c r="G19" s="26" t="s">
        <v>19</v>
      </c>
      <c r="H19" s="26"/>
      <c r="I19" s="26" t="s">
        <v>20</v>
      </c>
      <c r="J19" s="26"/>
      <c r="K19" s="26" t="s">
        <v>21</v>
      </c>
      <c r="L19" s="26"/>
      <c r="M19" s="26" t="s">
        <v>19</v>
      </c>
      <c r="N19" s="26"/>
      <c r="O19" s="27" t="s">
        <v>20</v>
      </c>
      <c r="P19" s="27" t="s">
        <v>21</v>
      </c>
    </row>
    <row r="20" spans="1:22" s="3" customFormat="1" ht="13.5" customHeight="1" x14ac:dyDescent="0.2">
      <c r="A20" s="12">
        <v>1</v>
      </c>
      <c r="B20" s="12"/>
      <c r="C20" s="12">
        <v>2</v>
      </c>
      <c r="D20" s="12"/>
      <c r="E20" s="12">
        <v>3</v>
      </c>
      <c r="F20" s="12"/>
      <c r="G20" s="12">
        <v>4</v>
      </c>
      <c r="H20" s="12"/>
      <c r="I20" s="12">
        <v>5</v>
      </c>
      <c r="J20" s="12"/>
      <c r="K20" s="12">
        <v>6</v>
      </c>
      <c r="L20" s="12"/>
      <c r="M20" s="12">
        <v>7</v>
      </c>
      <c r="N20" s="12"/>
      <c r="O20" s="10">
        <v>8</v>
      </c>
      <c r="P20" s="10">
        <v>9</v>
      </c>
    </row>
    <row r="21" spans="1:22" ht="17.25" customHeight="1" x14ac:dyDescent="0.25">
      <c r="A21" s="70">
        <v>0</v>
      </c>
      <c r="B21" s="70"/>
      <c r="C21" s="70">
        <f>1793280/1000</f>
        <v>1793.28</v>
      </c>
      <c r="D21" s="70"/>
      <c r="E21" s="70">
        <f>A21+C21</f>
        <v>1793.28</v>
      </c>
      <c r="F21" s="70"/>
      <c r="G21" s="70">
        <v>0</v>
      </c>
      <c r="H21" s="70"/>
      <c r="I21" s="70">
        <f>474647.59/1000</f>
        <v>474.64759000000004</v>
      </c>
      <c r="J21" s="70"/>
      <c r="K21" s="70">
        <f>G21+I21</f>
        <v>474.64759000000004</v>
      </c>
      <c r="L21" s="70"/>
      <c r="M21" s="70">
        <f>A21-G21</f>
        <v>0</v>
      </c>
      <c r="N21" s="70"/>
      <c r="O21" s="71">
        <f>I21-C21</f>
        <v>-1318.6324099999999</v>
      </c>
      <c r="P21" s="72">
        <f>M21+O21</f>
        <v>-1318.6324099999999</v>
      </c>
    </row>
    <row r="22" spans="1:22" ht="6.75" customHeight="1" x14ac:dyDescent="0.25"/>
    <row r="23" spans="1:22" x14ac:dyDescent="0.25">
      <c r="A23" s="19" t="s">
        <v>23</v>
      </c>
      <c r="B23" s="23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22" ht="11.25" customHeight="1" x14ac:dyDescent="0.25">
      <c r="P24" s="2" t="s">
        <v>16</v>
      </c>
    </row>
    <row r="25" spans="1:22" ht="31.5" customHeight="1" x14ac:dyDescent="0.25">
      <c r="A25" s="25" t="s">
        <v>25</v>
      </c>
      <c r="B25" s="25" t="s">
        <v>26</v>
      </c>
      <c r="C25" s="25" t="s">
        <v>27</v>
      </c>
      <c r="D25" s="25" t="s">
        <v>298</v>
      </c>
      <c r="E25" s="25"/>
      <c r="F25" s="25"/>
      <c r="G25" s="25" t="s">
        <v>28</v>
      </c>
      <c r="H25" s="25"/>
      <c r="I25" s="25"/>
      <c r="J25" s="25" t="s">
        <v>29</v>
      </c>
      <c r="K25" s="25"/>
      <c r="L25" s="25"/>
      <c r="M25" s="25" t="s">
        <v>22</v>
      </c>
      <c r="N25" s="25"/>
      <c r="O25" s="25"/>
      <c r="P25" s="32" t="s">
        <v>30</v>
      </c>
      <c r="Q25" s="33"/>
      <c r="R25" s="33"/>
      <c r="S25" s="33"/>
      <c r="T25" s="33"/>
      <c r="U25" s="33"/>
      <c r="V25" s="33"/>
    </row>
    <row r="26" spans="1:22" ht="32.25" customHeight="1" x14ac:dyDescent="0.25">
      <c r="A26" s="25"/>
      <c r="B26" s="25"/>
      <c r="C26" s="25"/>
      <c r="D26" s="25"/>
      <c r="E26" s="25"/>
      <c r="F26" s="25"/>
      <c r="G26" s="34" t="s">
        <v>19</v>
      </c>
      <c r="H26" s="34" t="s">
        <v>20</v>
      </c>
      <c r="I26" s="34" t="s">
        <v>21</v>
      </c>
      <c r="J26" s="34" t="s">
        <v>19</v>
      </c>
      <c r="K26" s="34" t="s">
        <v>20</v>
      </c>
      <c r="L26" s="34" t="s">
        <v>21</v>
      </c>
      <c r="M26" s="34" t="s">
        <v>19</v>
      </c>
      <c r="N26" s="34" t="s">
        <v>20</v>
      </c>
      <c r="O26" s="34" t="s">
        <v>21</v>
      </c>
      <c r="P26" s="32"/>
    </row>
    <row r="27" spans="1:22" s="4" customFormat="1" ht="9" customHeight="1" x14ac:dyDescent="0.25">
      <c r="A27" s="10">
        <v>1</v>
      </c>
      <c r="B27" s="10">
        <v>2</v>
      </c>
      <c r="C27" s="10">
        <v>3</v>
      </c>
      <c r="D27" s="12">
        <v>4</v>
      </c>
      <c r="E27" s="12"/>
      <c r="F27" s="12"/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1">
        <v>14</v>
      </c>
    </row>
    <row r="28" spans="1:22" s="36" customFormat="1" ht="46.5" customHeight="1" x14ac:dyDescent="0.25">
      <c r="A28" s="37"/>
      <c r="B28" s="37">
        <v>1016310</v>
      </c>
      <c r="C28" s="43" t="s">
        <v>196</v>
      </c>
      <c r="D28" s="38" t="s">
        <v>197</v>
      </c>
      <c r="E28" s="39"/>
      <c r="F28" s="40"/>
      <c r="G28" s="41">
        <f>G29+G30</f>
        <v>0</v>
      </c>
      <c r="H28" s="41">
        <f>H29+H30</f>
        <v>1793.28</v>
      </c>
      <c r="I28" s="41">
        <f>H28+G28</f>
        <v>1793.28</v>
      </c>
      <c r="J28" s="41">
        <f>J29+J30</f>
        <v>0</v>
      </c>
      <c r="K28" s="41">
        <f>K29+K30</f>
        <v>474.64759000000004</v>
      </c>
      <c r="L28" s="41">
        <f>K28+J28</f>
        <v>474.64759000000004</v>
      </c>
      <c r="M28" s="41">
        <f>M29+M30</f>
        <v>0</v>
      </c>
      <c r="N28" s="41">
        <f>N29+N30</f>
        <v>-1318.6324099999999</v>
      </c>
      <c r="O28" s="41">
        <f>N28+M28</f>
        <v>-1318.6324099999999</v>
      </c>
      <c r="P28" s="42"/>
    </row>
    <row r="29" spans="1:22" ht="74.25" customHeight="1" x14ac:dyDescent="0.25">
      <c r="A29" s="29">
        <v>1</v>
      </c>
      <c r="B29" s="29">
        <v>1016310</v>
      </c>
      <c r="C29" s="74" t="s">
        <v>196</v>
      </c>
      <c r="D29" s="47" t="s">
        <v>370</v>
      </c>
      <c r="E29" s="15"/>
      <c r="F29" s="15"/>
      <c r="G29" s="9">
        <f>A21</f>
        <v>0</v>
      </c>
      <c r="H29" s="9">
        <f>1545000/1000</f>
        <v>1545</v>
      </c>
      <c r="I29" s="9">
        <f>G29+H29</f>
        <v>1545</v>
      </c>
      <c r="J29" s="9">
        <f>G21</f>
        <v>0</v>
      </c>
      <c r="K29" s="9">
        <f>I21</f>
        <v>474.64759000000004</v>
      </c>
      <c r="L29" s="9">
        <f>J29+K29</f>
        <v>474.64759000000004</v>
      </c>
      <c r="M29" s="9">
        <f t="shared" ref="M29:M30" si="0">G29-J29</f>
        <v>0</v>
      </c>
      <c r="N29" s="9">
        <f>K29-H29</f>
        <v>-1070.35241</v>
      </c>
      <c r="O29" s="9">
        <f>M29+N29</f>
        <v>-1070.35241</v>
      </c>
      <c r="P29" s="107" t="s">
        <v>373</v>
      </c>
    </row>
    <row r="30" spans="1:22" ht="45.75" customHeight="1" x14ac:dyDescent="0.25">
      <c r="A30" s="29">
        <v>2</v>
      </c>
      <c r="B30" s="29">
        <v>1016310</v>
      </c>
      <c r="C30" s="74" t="s">
        <v>196</v>
      </c>
      <c r="D30" s="38" t="s">
        <v>371</v>
      </c>
      <c r="E30" s="39"/>
      <c r="F30" s="40"/>
      <c r="G30" s="9">
        <v>0</v>
      </c>
      <c r="H30" s="9">
        <f>C21-H29</f>
        <v>248.27999999999997</v>
      </c>
      <c r="I30" s="9">
        <f>G30+H30</f>
        <v>248.27999999999997</v>
      </c>
      <c r="J30" s="9">
        <v>0</v>
      </c>
      <c r="K30" s="9">
        <v>0</v>
      </c>
      <c r="L30" s="9">
        <f>J30+K30</f>
        <v>0</v>
      </c>
      <c r="M30" s="9">
        <f t="shared" si="0"/>
        <v>0</v>
      </c>
      <c r="N30" s="9">
        <f>K30-H30</f>
        <v>-248.27999999999997</v>
      </c>
      <c r="O30" s="9">
        <f>M30+N30</f>
        <v>-248.27999999999997</v>
      </c>
      <c r="P30" s="107" t="s">
        <v>374</v>
      </c>
    </row>
    <row r="31" spans="1:22" ht="8.25" customHeight="1" x14ac:dyDescent="0.25">
      <c r="D31" s="46"/>
      <c r="E31" s="46"/>
      <c r="F31" s="46"/>
    </row>
    <row r="32" spans="1:22" x14ac:dyDescent="0.25">
      <c r="A32" s="17" t="s">
        <v>31</v>
      </c>
      <c r="B32" s="23" t="s">
        <v>32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11.25" customHeight="1" x14ac:dyDescent="0.25">
      <c r="P33" s="2" t="s">
        <v>16</v>
      </c>
    </row>
    <row r="34" spans="1:16" ht="33.75" customHeight="1" x14ac:dyDescent="0.25">
      <c r="A34" s="25" t="s">
        <v>33</v>
      </c>
      <c r="B34" s="25"/>
      <c r="C34" s="25"/>
      <c r="D34" s="25"/>
      <c r="E34" s="25"/>
      <c r="F34" s="25"/>
      <c r="G34" s="25" t="s">
        <v>28</v>
      </c>
      <c r="H34" s="25"/>
      <c r="I34" s="25"/>
      <c r="J34" s="25" t="s">
        <v>29</v>
      </c>
      <c r="K34" s="25"/>
      <c r="L34" s="25"/>
      <c r="M34" s="25" t="s">
        <v>22</v>
      </c>
      <c r="N34" s="25"/>
      <c r="O34" s="25"/>
      <c r="P34" s="25" t="s">
        <v>30</v>
      </c>
    </row>
    <row r="35" spans="1:16" ht="31.5" customHeight="1" x14ac:dyDescent="0.25">
      <c r="A35" s="25"/>
      <c r="B35" s="25"/>
      <c r="C35" s="25"/>
      <c r="D35" s="25"/>
      <c r="E35" s="25"/>
      <c r="F35" s="25"/>
      <c r="G35" s="34" t="s">
        <v>19</v>
      </c>
      <c r="H35" s="34" t="s">
        <v>20</v>
      </c>
      <c r="I35" s="34" t="s">
        <v>21</v>
      </c>
      <c r="J35" s="34" t="s">
        <v>19</v>
      </c>
      <c r="K35" s="34" t="s">
        <v>20</v>
      </c>
      <c r="L35" s="34" t="s">
        <v>21</v>
      </c>
      <c r="M35" s="34" t="s">
        <v>19</v>
      </c>
      <c r="N35" s="34" t="s">
        <v>20</v>
      </c>
      <c r="O35" s="34" t="s">
        <v>21</v>
      </c>
      <c r="P35" s="25"/>
    </row>
    <row r="36" spans="1:16" s="4" customFormat="1" ht="10.5" x14ac:dyDescent="0.25">
      <c r="A36" s="12">
        <v>1</v>
      </c>
      <c r="B36" s="12"/>
      <c r="C36" s="12"/>
      <c r="D36" s="12"/>
      <c r="E36" s="12"/>
      <c r="F36" s="12"/>
      <c r="G36" s="10">
        <v>2</v>
      </c>
      <c r="H36" s="10">
        <v>3</v>
      </c>
      <c r="I36" s="10">
        <v>4</v>
      </c>
      <c r="J36" s="10">
        <v>5</v>
      </c>
      <c r="K36" s="10">
        <v>6</v>
      </c>
      <c r="L36" s="10">
        <v>7</v>
      </c>
      <c r="M36" s="10">
        <v>8</v>
      </c>
      <c r="N36" s="10">
        <v>9</v>
      </c>
      <c r="O36" s="10">
        <v>10</v>
      </c>
      <c r="P36" s="10">
        <v>11</v>
      </c>
    </row>
    <row r="37" spans="1:16" ht="66" customHeight="1" x14ac:dyDescent="0.25">
      <c r="A37" s="52" t="s">
        <v>54</v>
      </c>
      <c r="B37" s="53"/>
      <c r="C37" s="53"/>
      <c r="D37" s="53"/>
      <c r="E37" s="53"/>
      <c r="F37" s="54"/>
      <c r="G37" s="9">
        <f>G29</f>
        <v>0</v>
      </c>
      <c r="H37" s="9">
        <f>H29+H30</f>
        <v>1793.28</v>
      </c>
      <c r="I37" s="9">
        <f>G37+H37</f>
        <v>1793.28</v>
      </c>
      <c r="J37" s="9">
        <f>J29</f>
        <v>0</v>
      </c>
      <c r="K37" s="9">
        <f>K29+K30</f>
        <v>474.64759000000004</v>
      </c>
      <c r="L37" s="9">
        <f>J37+K37</f>
        <v>474.64759000000004</v>
      </c>
      <c r="M37" s="9">
        <f>G37-J37</f>
        <v>0</v>
      </c>
      <c r="N37" s="9">
        <f>H37-K37</f>
        <v>1318.6324099999999</v>
      </c>
      <c r="O37" s="9">
        <f>M37+N37</f>
        <v>1318.6324099999999</v>
      </c>
      <c r="P37" s="107" t="s">
        <v>372</v>
      </c>
    </row>
    <row r="38" spans="1:16" ht="12" customHeight="1" x14ac:dyDescent="0.25"/>
    <row r="39" spans="1:16" x14ac:dyDescent="0.25">
      <c r="A39" s="17" t="s">
        <v>34</v>
      </c>
      <c r="B39" s="23" t="s">
        <v>35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ht="11.25" customHeight="1" x14ac:dyDescent="0.25">
      <c r="P40" s="2" t="s">
        <v>16</v>
      </c>
    </row>
    <row r="41" spans="1:16" ht="43.5" customHeight="1" x14ac:dyDescent="0.25">
      <c r="A41" s="34" t="s">
        <v>25</v>
      </c>
      <c r="B41" s="34" t="s">
        <v>26</v>
      </c>
      <c r="C41" s="25" t="s">
        <v>36</v>
      </c>
      <c r="D41" s="25"/>
      <c r="E41" s="25"/>
      <c r="F41" s="25"/>
      <c r="G41" s="25"/>
      <c r="H41" s="34" t="s">
        <v>37</v>
      </c>
      <c r="I41" s="25" t="s">
        <v>38</v>
      </c>
      <c r="J41" s="25"/>
      <c r="K41" s="25" t="s">
        <v>28</v>
      </c>
      <c r="L41" s="25"/>
      <c r="M41" s="25" t="s">
        <v>39</v>
      </c>
      <c r="N41" s="25"/>
      <c r="O41" s="25" t="s">
        <v>22</v>
      </c>
      <c r="P41" s="25"/>
    </row>
    <row r="42" spans="1:16" s="4" customFormat="1" ht="11.25" customHeight="1" x14ac:dyDescent="0.25">
      <c r="A42" s="10">
        <v>1</v>
      </c>
      <c r="B42" s="10">
        <v>2</v>
      </c>
      <c r="C42" s="12">
        <v>3</v>
      </c>
      <c r="D42" s="12"/>
      <c r="E42" s="12"/>
      <c r="F42" s="12"/>
      <c r="G42" s="12"/>
      <c r="H42" s="10">
        <v>4</v>
      </c>
      <c r="I42" s="12">
        <v>5</v>
      </c>
      <c r="J42" s="12"/>
      <c r="K42" s="12">
        <v>6</v>
      </c>
      <c r="L42" s="12"/>
      <c r="M42" s="12">
        <v>7</v>
      </c>
      <c r="N42" s="12"/>
      <c r="O42" s="12">
        <v>8</v>
      </c>
      <c r="P42" s="12"/>
    </row>
    <row r="43" spans="1:16" s="36" customFormat="1" ht="18" customHeight="1" x14ac:dyDescent="0.25">
      <c r="A43" s="37"/>
      <c r="B43" s="37">
        <v>1016310</v>
      </c>
      <c r="C43" s="38" t="s">
        <v>198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0"/>
    </row>
    <row r="44" spans="1:16" s="36" customFormat="1" ht="21" customHeight="1" x14ac:dyDescent="0.25">
      <c r="A44" s="37">
        <v>1</v>
      </c>
      <c r="B44" s="37"/>
      <c r="C44" s="47" t="s">
        <v>56</v>
      </c>
      <c r="D44" s="47"/>
      <c r="E44" s="47"/>
      <c r="F44" s="47"/>
      <c r="G44" s="47"/>
      <c r="H44" s="29"/>
      <c r="I44" s="28"/>
      <c r="J44" s="28"/>
      <c r="K44" s="28"/>
      <c r="L44" s="28"/>
      <c r="M44" s="28"/>
      <c r="N44" s="28"/>
      <c r="O44" s="28"/>
      <c r="P44" s="28"/>
    </row>
    <row r="45" spans="1:16" s="36" customFormat="1" ht="16.5" customHeight="1" x14ac:dyDescent="0.25">
      <c r="A45" s="37"/>
      <c r="B45" s="37"/>
      <c r="C45" s="15" t="s">
        <v>83</v>
      </c>
      <c r="D45" s="15"/>
      <c r="E45" s="15"/>
      <c r="F45" s="15"/>
      <c r="G45" s="15"/>
      <c r="H45" s="29" t="s">
        <v>58</v>
      </c>
      <c r="I45" s="28" t="s">
        <v>62</v>
      </c>
      <c r="J45" s="28"/>
      <c r="K45" s="30">
        <f>H29</f>
        <v>1545</v>
      </c>
      <c r="L45" s="28"/>
      <c r="M45" s="30">
        <f>L29</f>
        <v>474.64759000000004</v>
      </c>
      <c r="N45" s="28"/>
      <c r="O45" s="30">
        <f>M45-K45</f>
        <v>-1070.35241</v>
      </c>
      <c r="P45" s="28"/>
    </row>
    <row r="46" spans="1:16" s="36" customFormat="1" ht="15.75" customHeight="1" x14ac:dyDescent="0.25">
      <c r="A46" s="37"/>
      <c r="B46" s="37"/>
      <c r="C46" s="52" t="s">
        <v>200</v>
      </c>
      <c r="D46" s="53"/>
      <c r="E46" s="53"/>
      <c r="F46" s="53"/>
      <c r="G46" s="54"/>
      <c r="H46" s="29" t="s">
        <v>201</v>
      </c>
      <c r="I46" s="80" t="s">
        <v>202</v>
      </c>
      <c r="J46" s="81"/>
      <c r="K46" s="78">
        <v>924</v>
      </c>
      <c r="L46" s="79"/>
      <c r="M46" s="78">
        <f>283.88</f>
        <v>283.88</v>
      </c>
      <c r="N46" s="79"/>
      <c r="O46" s="78">
        <f>M46-K46</f>
        <v>-640.12</v>
      </c>
      <c r="P46" s="79"/>
    </row>
    <row r="47" spans="1:16" s="36" customFormat="1" ht="17.25" customHeight="1" x14ac:dyDescent="0.25">
      <c r="A47" s="37">
        <v>2</v>
      </c>
      <c r="B47" s="37"/>
      <c r="C47" s="47" t="s">
        <v>64</v>
      </c>
      <c r="D47" s="47"/>
      <c r="E47" s="47"/>
      <c r="F47" s="47"/>
      <c r="G47" s="47"/>
      <c r="H47" s="29"/>
      <c r="I47" s="28"/>
      <c r="J47" s="28"/>
      <c r="K47" s="28"/>
      <c r="L47" s="28"/>
      <c r="M47" s="28"/>
      <c r="N47" s="28"/>
      <c r="O47" s="28"/>
      <c r="P47" s="28"/>
    </row>
    <row r="48" spans="1:16" s="36" customFormat="1" ht="18" customHeight="1" x14ac:dyDescent="0.25">
      <c r="A48" s="37"/>
      <c r="B48" s="37"/>
      <c r="C48" s="15" t="s">
        <v>203</v>
      </c>
      <c r="D48" s="15"/>
      <c r="E48" s="15"/>
      <c r="F48" s="15"/>
      <c r="G48" s="15"/>
      <c r="H48" s="29" t="s">
        <v>67</v>
      </c>
      <c r="I48" s="80" t="s">
        <v>202</v>
      </c>
      <c r="J48" s="81"/>
      <c r="K48" s="28">
        <v>1</v>
      </c>
      <c r="L48" s="28"/>
      <c r="M48" s="55">
        <v>1</v>
      </c>
      <c r="N48" s="55"/>
      <c r="O48" s="48">
        <f>K48-M48</f>
        <v>0</v>
      </c>
      <c r="P48" s="48"/>
    </row>
    <row r="49" spans="1:16" s="36" customFormat="1" ht="18" customHeight="1" x14ac:dyDescent="0.25">
      <c r="A49" s="37">
        <v>3</v>
      </c>
      <c r="B49" s="37"/>
      <c r="C49" s="47" t="s">
        <v>68</v>
      </c>
      <c r="D49" s="47"/>
      <c r="E49" s="47"/>
      <c r="F49" s="47"/>
      <c r="G49" s="47"/>
      <c r="H49" s="29"/>
      <c r="I49" s="28"/>
      <c r="J49" s="28"/>
      <c r="K49" s="28"/>
      <c r="L49" s="28"/>
      <c r="M49" s="28"/>
      <c r="N49" s="28"/>
      <c r="O49" s="28"/>
      <c r="P49" s="28"/>
    </row>
    <row r="50" spans="1:16" s="36" customFormat="1" ht="19.5" customHeight="1" x14ac:dyDescent="0.25">
      <c r="A50" s="37"/>
      <c r="B50" s="37"/>
      <c r="C50" s="15" t="s">
        <v>204</v>
      </c>
      <c r="D50" s="15"/>
      <c r="E50" s="15"/>
      <c r="F50" s="15"/>
      <c r="G50" s="15"/>
      <c r="H50" s="29" t="s">
        <v>58</v>
      </c>
      <c r="I50" s="28" t="s">
        <v>72</v>
      </c>
      <c r="J50" s="28"/>
      <c r="K50" s="111">
        <f>K45/K48</f>
        <v>1545</v>
      </c>
      <c r="L50" s="111"/>
      <c r="M50" s="111">
        <f>M45/M48</f>
        <v>474.64759000000004</v>
      </c>
      <c r="N50" s="111"/>
      <c r="O50" s="30">
        <f>M50-K50</f>
        <v>-1070.35241</v>
      </c>
      <c r="P50" s="30"/>
    </row>
    <row r="51" spans="1:16" s="36" customFormat="1" ht="18.75" customHeight="1" x14ac:dyDescent="0.25">
      <c r="A51" s="37"/>
      <c r="B51" s="37"/>
      <c r="C51" s="52" t="s">
        <v>205</v>
      </c>
      <c r="D51" s="53"/>
      <c r="E51" s="53"/>
      <c r="F51" s="53"/>
      <c r="G51" s="54"/>
      <c r="H51" s="29" t="s">
        <v>96</v>
      </c>
      <c r="I51" s="28" t="s">
        <v>72</v>
      </c>
      <c r="J51" s="28"/>
      <c r="K51" s="88">
        <f>K45/K46*1000</f>
        <v>1672.077922077922</v>
      </c>
      <c r="L51" s="89"/>
      <c r="M51" s="88">
        <f>M45/M46*1000</f>
        <v>1672.0008102014938</v>
      </c>
      <c r="N51" s="89"/>
      <c r="O51" s="88">
        <f>K51-M51</f>
        <v>7.7111876428261894E-2</v>
      </c>
      <c r="P51" s="89"/>
    </row>
    <row r="52" spans="1:16" s="36" customFormat="1" ht="18" customHeight="1" x14ac:dyDescent="0.25">
      <c r="A52" s="37">
        <v>4</v>
      </c>
      <c r="B52" s="37"/>
      <c r="C52" s="38" t="s">
        <v>74</v>
      </c>
      <c r="D52" s="39"/>
      <c r="E52" s="39"/>
      <c r="F52" s="39"/>
      <c r="G52" s="40"/>
      <c r="H52" s="29"/>
      <c r="I52" s="28"/>
      <c r="J52" s="28"/>
      <c r="K52" s="55"/>
      <c r="L52" s="55"/>
      <c r="M52" s="55"/>
      <c r="N52" s="55"/>
      <c r="O52" s="55"/>
      <c r="P52" s="55"/>
    </row>
    <row r="53" spans="1:16" s="36" customFormat="1" ht="16.5" customHeight="1" x14ac:dyDescent="0.25">
      <c r="A53" s="37"/>
      <c r="B53" s="37"/>
      <c r="C53" s="52" t="s">
        <v>206</v>
      </c>
      <c r="D53" s="53"/>
      <c r="E53" s="53"/>
      <c r="F53" s="53"/>
      <c r="G53" s="54"/>
      <c r="H53" s="29" t="s">
        <v>77</v>
      </c>
      <c r="I53" s="28" t="s">
        <v>72</v>
      </c>
      <c r="J53" s="28"/>
      <c r="K53" s="55">
        <v>100</v>
      </c>
      <c r="L53" s="55"/>
      <c r="M53" s="55">
        <f>M45/K45*100</f>
        <v>30.721526860841426</v>
      </c>
      <c r="N53" s="55"/>
      <c r="O53" s="48">
        <f>M53-K53</f>
        <v>-69.278473139158578</v>
      </c>
      <c r="P53" s="48"/>
    </row>
    <row r="54" spans="1:16" s="36" customFormat="1" ht="21.75" customHeight="1" x14ac:dyDescent="0.25">
      <c r="A54" s="38" t="s">
        <v>233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0"/>
    </row>
    <row r="55" spans="1:16" s="36" customFormat="1" ht="21.75" customHeight="1" x14ac:dyDescent="0.25">
      <c r="A55" s="52" t="s">
        <v>276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  <row r="56" spans="1:16" s="36" customFormat="1" ht="23.25" customHeight="1" x14ac:dyDescent="0.25">
      <c r="A56" s="37"/>
      <c r="B56" s="37">
        <v>1016310</v>
      </c>
      <c r="C56" s="38" t="s">
        <v>199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</row>
    <row r="57" spans="1:16" s="36" customFormat="1" ht="20.25" customHeight="1" x14ac:dyDescent="0.25">
      <c r="A57" s="37">
        <v>1</v>
      </c>
      <c r="B57" s="37"/>
      <c r="C57" s="47" t="s">
        <v>56</v>
      </c>
      <c r="D57" s="47"/>
      <c r="E57" s="47"/>
      <c r="F57" s="47"/>
      <c r="G57" s="47"/>
      <c r="H57" s="29"/>
      <c r="I57" s="28"/>
      <c r="J57" s="28"/>
      <c r="K57" s="55"/>
      <c r="L57" s="55"/>
      <c r="M57" s="55"/>
      <c r="N57" s="55"/>
      <c r="O57" s="55"/>
      <c r="P57" s="55"/>
    </row>
    <row r="58" spans="1:16" s="36" customFormat="1" ht="20.25" customHeight="1" x14ac:dyDescent="0.25">
      <c r="A58" s="37"/>
      <c r="B58" s="37"/>
      <c r="C58" s="15" t="s">
        <v>83</v>
      </c>
      <c r="D58" s="15"/>
      <c r="E58" s="15"/>
      <c r="F58" s="15"/>
      <c r="G58" s="15"/>
      <c r="H58" s="29" t="s">
        <v>58</v>
      </c>
      <c r="I58" s="28" t="s">
        <v>62</v>
      </c>
      <c r="J58" s="28"/>
      <c r="K58" s="112">
        <f>I30</f>
        <v>248.27999999999997</v>
      </c>
      <c r="L58" s="112"/>
      <c r="M58" s="55">
        <f>L30</f>
        <v>0</v>
      </c>
      <c r="N58" s="55"/>
      <c r="O58" s="30">
        <f>M58-K58</f>
        <v>-248.27999999999997</v>
      </c>
      <c r="P58" s="30"/>
    </row>
    <row r="59" spans="1:16" s="36" customFormat="1" ht="18" customHeight="1" x14ac:dyDescent="0.25">
      <c r="A59" s="37">
        <v>2</v>
      </c>
      <c r="B59" s="37"/>
      <c r="C59" s="47" t="s">
        <v>64</v>
      </c>
      <c r="D59" s="47"/>
      <c r="E59" s="47"/>
      <c r="F59" s="47"/>
      <c r="G59" s="47"/>
      <c r="H59" s="29"/>
      <c r="I59" s="28"/>
      <c r="J59" s="28"/>
      <c r="K59" s="55"/>
      <c r="L59" s="55"/>
      <c r="M59" s="55"/>
      <c r="N59" s="55"/>
      <c r="O59" s="55"/>
      <c r="P59" s="55"/>
    </row>
    <row r="60" spans="1:16" s="36" customFormat="1" ht="21" customHeight="1" x14ac:dyDescent="0.25">
      <c r="A60" s="37"/>
      <c r="B60" s="37"/>
      <c r="C60" s="52" t="s">
        <v>207</v>
      </c>
      <c r="D60" s="53"/>
      <c r="E60" s="53"/>
      <c r="F60" s="53"/>
      <c r="G60" s="54"/>
      <c r="H60" s="29" t="s">
        <v>67</v>
      </c>
      <c r="I60" s="28" t="s">
        <v>62</v>
      </c>
      <c r="J60" s="28"/>
      <c r="K60" s="55">
        <v>3</v>
      </c>
      <c r="L60" s="55"/>
      <c r="M60" s="55">
        <v>0</v>
      </c>
      <c r="N60" s="55"/>
      <c r="O60" s="55">
        <f>K60-M60</f>
        <v>3</v>
      </c>
      <c r="P60" s="55"/>
    </row>
    <row r="61" spans="1:16" s="36" customFormat="1" ht="18" customHeight="1" x14ac:dyDescent="0.25">
      <c r="A61" s="37">
        <v>3</v>
      </c>
      <c r="B61" s="37"/>
      <c r="C61" s="47" t="s">
        <v>68</v>
      </c>
      <c r="D61" s="47"/>
      <c r="E61" s="47"/>
      <c r="F61" s="47"/>
      <c r="G61" s="47"/>
      <c r="H61" s="29"/>
      <c r="I61" s="28"/>
      <c r="J61" s="28"/>
      <c r="K61" s="55"/>
      <c r="L61" s="55"/>
      <c r="M61" s="55"/>
      <c r="N61" s="55"/>
      <c r="O61" s="55"/>
      <c r="P61" s="55"/>
    </row>
    <row r="62" spans="1:16" s="36" customFormat="1" ht="30.75" customHeight="1" x14ac:dyDescent="0.25">
      <c r="A62" s="37"/>
      <c r="B62" s="37"/>
      <c r="C62" s="52" t="s">
        <v>208</v>
      </c>
      <c r="D62" s="53"/>
      <c r="E62" s="53"/>
      <c r="F62" s="53"/>
      <c r="G62" s="54"/>
      <c r="H62" s="29" t="s">
        <v>58</v>
      </c>
      <c r="I62" s="28" t="s">
        <v>72</v>
      </c>
      <c r="J62" s="28"/>
      <c r="K62" s="111">
        <f>K58/K60</f>
        <v>82.759999999999991</v>
      </c>
      <c r="L62" s="111"/>
      <c r="M62" s="111">
        <v>0</v>
      </c>
      <c r="N62" s="111"/>
      <c r="O62" s="30">
        <f>M62-K62</f>
        <v>-82.759999999999991</v>
      </c>
      <c r="P62" s="30"/>
    </row>
    <row r="63" spans="1:16" s="36" customFormat="1" ht="19.5" customHeight="1" x14ac:dyDescent="0.25">
      <c r="A63" s="37">
        <v>4</v>
      </c>
      <c r="B63" s="37"/>
      <c r="C63" s="38" t="s">
        <v>74</v>
      </c>
      <c r="D63" s="39"/>
      <c r="E63" s="39"/>
      <c r="F63" s="39"/>
      <c r="G63" s="40"/>
      <c r="H63" s="29"/>
      <c r="I63" s="28"/>
      <c r="J63" s="28"/>
      <c r="K63" s="55"/>
      <c r="L63" s="55"/>
      <c r="M63" s="55"/>
      <c r="N63" s="55"/>
      <c r="O63" s="55"/>
      <c r="P63" s="55"/>
    </row>
    <row r="64" spans="1:16" s="36" customFormat="1" ht="33.75" customHeight="1" x14ac:dyDescent="0.25">
      <c r="A64" s="37"/>
      <c r="B64" s="37"/>
      <c r="C64" s="52" t="s">
        <v>209</v>
      </c>
      <c r="D64" s="53"/>
      <c r="E64" s="53"/>
      <c r="F64" s="53"/>
      <c r="G64" s="54"/>
      <c r="H64" s="29" t="s">
        <v>77</v>
      </c>
      <c r="I64" s="28" t="s">
        <v>72</v>
      </c>
      <c r="J64" s="28"/>
      <c r="K64" s="55">
        <v>0</v>
      </c>
      <c r="L64" s="55"/>
      <c r="M64" s="55">
        <v>0</v>
      </c>
      <c r="N64" s="55"/>
      <c r="O64" s="48">
        <v>0</v>
      </c>
      <c r="P64" s="48"/>
    </row>
    <row r="65" spans="1:16" s="36" customFormat="1" ht="21" customHeight="1" x14ac:dyDescent="0.25">
      <c r="A65" s="38" t="s">
        <v>233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0"/>
    </row>
    <row r="66" spans="1:16" s="36" customFormat="1" ht="18" customHeight="1" x14ac:dyDescent="0.25">
      <c r="A66" s="52" t="s">
        <v>277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  <row r="67" spans="1:16" s="36" customFormat="1" ht="21" customHeight="1" x14ac:dyDescent="0.25">
      <c r="A67" s="47" t="s">
        <v>240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1:16" s="36" customFormat="1" ht="18.75" customHeight="1" x14ac:dyDescent="0.25">
      <c r="A68" s="52" t="s">
        <v>375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  <row r="69" spans="1:16" s="82" customFormat="1" ht="16.5" customHeight="1" x14ac:dyDescent="0.25">
      <c r="H69" s="83"/>
    </row>
    <row r="70" spans="1:16" x14ac:dyDescent="0.25">
      <c r="A70" s="17" t="s">
        <v>40</v>
      </c>
      <c r="B70" s="23" t="s">
        <v>305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1:16" ht="12" customHeight="1" x14ac:dyDescent="0.25">
      <c r="P71" s="24" t="s">
        <v>16</v>
      </c>
    </row>
    <row r="72" spans="1:16" ht="33.75" customHeight="1" x14ac:dyDescent="0.25">
      <c r="A72" s="59" t="s">
        <v>41</v>
      </c>
      <c r="B72" s="60" t="s">
        <v>42</v>
      </c>
      <c r="C72" s="61"/>
      <c r="D72" s="59" t="s">
        <v>26</v>
      </c>
      <c r="E72" s="25" t="s">
        <v>43</v>
      </c>
      <c r="F72" s="25"/>
      <c r="G72" s="25"/>
      <c r="H72" s="25" t="s">
        <v>44</v>
      </c>
      <c r="I72" s="25"/>
      <c r="J72" s="25"/>
      <c r="K72" s="25" t="s">
        <v>45</v>
      </c>
      <c r="L72" s="25"/>
      <c r="M72" s="25"/>
      <c r="N72" s="25" t="s">
        <v>46</v>
      </c>
      <c r="O72" s="25"/>
      <c r="P72" s="25"/>
    </row>
    <row r="73" spans="1:16" ht="45" x14ac:dyDescent="0.25">
      <c r="A73" s="62"/>
      <c r="B73" s="63"/>
      <c r="C73" s="64"/>
      <c r="D73" s="62"/>
      <c r="E73" s="34" t="s">
        <v>19</v>
      </c>
      <c r="F73" s="34" t="s">
        <v>20</v>
      </c>
      <c r="G73" s="34" t="s">
        <v>21</v>
      </c>
      <c r="H73" s="34" t="s">
        <v>19</v>
      </c>
      <c r="I73" s="34" t="s">
        <v>20</v>
      </c>
      <c r="J73" s="34" t="s">
        <v>21</v>
      </c>
      <c r="K73" s="34" t="s">
        <v>19</v>
      </c>
      <c r="L73" s="34" t="s">
        <v>20</v>
      </c>
      <c r="M73" s="34" t="s">
        <v>21</v>
      </c>
      <c r="N73" s="34" t="s">
        <v>19</v>
      </c>
      <c r="O73" s="34" t="s">
        <v>20</v>
      </c>
      <c r="P73" s="34" t="s">
        <v>21</v>
      </c>
    </row>
    <row r="74" spans="1:16" s="36" customFormat="1" ht="8.25" customHeight="1" x14ac:dyDescent="0.25">
      <c r="A74" s="29">
        <v>1</v>
      </c>
      <c r="B74" s="28">
        <v>2</v>
      </c>
      <c r="C74" s="28"/>
      <c r="D74" s="29">
        <v>3</v>
      </c>
      <c r="E74" s="29">
        <v>4</v>
      </c>
      <c r="F74" s="29">
        <v>5</v>
      </c>
      <c r="G74" s="29">
        <v>6</v>
      </c>
      <c r="H74" s="29">
        <v>7</v>
      </c>
      <c r="I74" s="29">
        <v>8</v>
      </c>
      <c r="J74" s="29">
        <v>9</v>
      </c>
      <c r="K74" s="29">
        <v>10</v>
      </c>
      <c r="L74" s="29">
        <v>11</v>
      </c>
      <c r="M74" s="29">
        <v>12</v>
      </c>
      <c r="N74" s="29">
        <v>13</v>
      </c>
      <c r="O74" s="29">
        <v>14</v>
      </c>
      <c r="P74" s="29">
        <v>15</v>
      </c>
    </row>
    <row r="75" spans="1:16" x14ac:dyDescent="0.25">
      <c r="A75" s="57"/>
      <c r="B75" s="67"/>
      <c r="C75" s="68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</row>
    <row r="76" spans="1:16" ht="5.25" customHeight="1" x14ac:dyDescent="0.25"/>
    <row r="77" spans="1:16" ht="12" customHeight="1" x14ac:dyDescent="0.25">
      <c r="A77" s="23" t="s">
        <v>306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10.5" customHeight="1" x14ac:dyDescent="0.25">
      <c r="A78" s="23" t="s">
        <v>307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1:16" ht="11.25" customHeight="1" x14ac:dyDescent="0.25">
      <c r="A79" s="23" t="s">
        <v>308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1:16" ht="43.5" customHeight="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2" spans="1:15" x14ac:dyDescent="0.25">
      <c r="A82" s="65" t="s">
        <v>47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5" t="s">
        <v>48</v>
      </c>
      <c r="N82" s="66"/>
      <c r="O82" s="66"/>
    </row>
    <row r="83" spans="1:15" x14ac:dyDescent="0.25">
      <c r="A83" s="65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5"/>
      <c r="N83" s="66"/>
      <c r="O83" s="66"/>
    </row>
    <row r="84" spans="1:15" ht="43.5" customHeight="1" x14ac:dyDescent="0.25"/>
    <row r="85" spans="1:15" x14ac:dyDescent="0.25">
      <c r="A85" s="65" t="str">
        <f>'1010'!A116</f>
        <v xml:space="preserve">Спеціаліст І категорії, бухгалтер управління освіти і науки 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 t="str">
        <f>'1010'!M116</f>
        <v>Ю.Філатова</v>
      </c>
    </row>
  </sheetData>
  <mergeCells count="179">
    <mergeCell ref="A65:P65"/>
    <mergeCell ref="A66:P66"/>
    <mergeCell ref="A67:P67"/>
    <mergeCell ref="A68:P68"/>
    <mergeCell ref="B75:C75"/>
    <mergeCell ref="K63:L63"/>
    <mergeCell ref="C62:G62"/>
    <mergeCell ref="C56:P56"/>
    <mergeCell ref="O61:P61"/>
    <mergeCell ref="O62:P62"/>
    <mergeCell ref="O63:P63"/>
    <mergeCell ref="O64:P64"/>
    <mergeCell ref="M63:N63"/>
    <mergeCell ref="M64:N64"/>
    <mergeCell ref="O57:P57"/>
    <mergeCell ref="O58:P58"/>
    <mergeCell ref="O59:P59"/>
    <mergeCell ref="O60:P60"/>
    <mergeCell ref="M57:N57"/>
    <mergeCell ref="M58:N58"/>
    <mergeCell ref="M59:N59"/>
    <mergeCell ref="M60:N60"/>
    <mergeCell ref="K58:L58"/>
    <mergeCell ref="K59:L59"/>
    <mergeCell ref="K60:L60"/>
    <mergeCell ref="K61:L61"/>
    <mergeCell ref="K62:L62"/>
    <mergeCell ref="I51:J51"/>
    <mergeCell ref="K51:L51"/>
    <mergeCell ref="M51:N51"/>
    <mergeCell ref="A54:P54"/>
    <mergeCell ref="A55:P55"/>
    <mergeCell ref="O51:P51"/>
    <mergeCell ref="B74:C74"/>
    <mergeCell ref="A77:P77"/>
    <mergeCell ref="A78:P78"/>
    <mergeCell ref="A79:P79"/>
    <mergeCell ref="K64:L64"/>
    <mergeCell ref="I61:J61"/>
    <mergeCell ref="I62:J62"/>
    <mergeCell ref="I63:J63"/>
    <mergeCell ref="I64:J64"/>
    <mergeCell ref="C63:G63"/>
    <mergeCell ref="C64:G64"/>
    <mergeCell ref="I57:J57"/>
    <mergeCell ref="I58:J58"/>
    <mergeCell ref="I59:J59"/>
    <mergeCell ref="I60:J60"/>
    <mergeCell ref="C57:G57"/>
    <mergeCell ref="C58:G58"/>
    <mergeCell ref="C59:G59"/>
    <mergeCell ref="C60:G60"/>
    <mergeCell ref="C61:G61"/>
    <mergeCell ref="M61:N61"/>
    <mergeCell ref="M62:N62"/>
    <mergeCell ref="K57:L57"/>
    <mergeCell ref="C46:G46"/>
    <mergeCell ref="I46:J46"/>
    <mergeCell ref="K46:L46"/>
    <mergeCell ref="M46:N46"/>
    <mergeCell ref="O46:P46"/>
    <mergeCell ref="B70:P70"/>
    <mergeCell ref="A72:A73"/>
    <mergeCell ref="B72:C73"/>
    <mergeCell ref="D72:D73"/>
    <mergeCell ref="E72:G72"/>
    <mergeCell ref="H72:J72"/>
    <mergeCell ref="K72:M72"/>
    <mergeCell ref="N72:P72"/>
    <mergeCell ref="C52:G52"/>
    <mergeCell ref="I52:J52"/>
    <mergeCell ref="K52:L52"/>
    <mergeCell ref="M52:N52"/>
    <mergeCell ref="O52:P52"/>
    <mergeCell ref="C53:G53"/>
    <mergeCell ref="I53:J53"/>
    <mergeCell ref="K53:L53"/>
    <mergeCell ref="M53:N53"/>
    <mergeCell ref="O53:P53"/>
    <mergeCell ref="C51:G51"/>
    <mergeCell ref="C49:G49"/>
    <mergeCell ref="I49:J49"/>
    <mergeCell ref="K49:L49"/>
    <mergeCell ref="M49:N49"/>
    <mergeCell ref="O49:P49"/>
    <mergeCell ref="C50:G50"/>
    <mergeCell ref="I50:J50"/>
    <mergeCell ref="K50:L50"/>
    <mergeCell ref="M50:N50"/>
    <mergeCell ref="O50:P50"/>
    <mergeCell ref="C47:G47"/>
    <mergeCell ref="I47:J47"/>
    <mergeCell ref="K47:L47"/>
    <mergeCell ref="M47:N47"/>
    <mergeCell ref="O47:P47"/>
    <mergeCell ref="C48:G48"/>
    <mergeCell ref="I48:J48"/>
    <mergeCell ref="K48:L48"/>
    <mergeCell ref="M48:N48"/>
    <mergeCell ref="O48:P48"/>
    <mergeCell ref="C44:G44"/>
    <mergeCell ref="I44:J44"/>
    <mergeCell ref="K44:L44"/>
    <mergeCell ref="M44:N44"/>
    <mergeCell ref="O44:P44"/>
    <mergeCell ref="C45:G45"/>
    <mergeCell ref="I45:J45"/>
    <mergeCell ref="K45:L45"/>
    <mergeCell ref="M45:N45"/>
    <mergeCell ref="O45:P45"/>
    <mergeCell ref="C42:G42"/>
    <mergeCell ref="I42:J42"/>
    <mergeCell ref="K42:L42"/>
    <mergeCell ref="M42:N42"/>
    <mergeCell ref="O42:P42"/>
    <mergeCell ref="C43:P43"/>
    <mergeCell ref="A36:F36"/>
    <mergeCell ref="A37:F37"/>
    <mergeCell ref="B39:P39"/>
    <mergeCell ref="C41:G41"/>
    <mergeCell ref="I41:J41"/>
    <mergeCell ref="K41:L41"/>
    <mergeCell ref="M41:N41"/>
    <mergeCell ref="O41:P41"/>
    <mergeCell ref="Q25:S25"/>
    <mergeCell ref="T25:V25"/>
    <mergeCell ref="D27:F27"/>
    <mergeCell ref="D29:F29"/>
    <mergeCell ref="B32:P32"/>
    <mergeCell ref="A34:F35"/>
    <mergeCell ref="G34:I34"/>
    <mergeCell ref="J34:L34"/>
    <mergeCell ref="M34:O34"/>
    <mergeCell ref="P34:P35"/>
    <mergeCell ref="D30:F30"/>
    <mergeCell ref="D28:F28"/>
    <mergeCell ref="M21:N21"/>
    <mergeCell ref="B23:P23"/>
    <mergeCell ref="A25:A26"/>
    <mergeCell ref="B25:B26"/>
    <mergeCell ref="C25:C26"/>
    <mergeCell ref="D25:F26"/>
    <mergeCell ref="G25:I25"/>
    <mergeCell ref="J25:L25"/>
    <mergeCell ref="M25:O25"/>
    <mergeCell ref="P25:P26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C13:P13"/>
    <mergeCell ref="D14:P14"/>
    <mergeCell ref="D15:P15"/>
    <mergeCell ref="B16:P16"/>
    <mergeCell ref="A18:F18"/>
    <mergeCell ref="G18:L18"/>
    <mergeCell ref="M18:P18"/>
    <mergeCell ref="A6:P6"/>
    <mergeCell ref="A7:P7"/>
    <mergeCell ref="A8:P8"/>
    <mergeCell ref="C10:P10"/>
    <mergeCell ref="C11:P11"/>
    <mergeCell ref="C12:P12"/>
  </mergeCells>
  <pageMargins left="0.19685039370078741" right="0.19685039370078741" top="0.39370078740157483" bottom="0.19685039370078741" header="0.11811023622047245" footer="0.11811023622047245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08"/>
  <sheetViews>
    <sheetView tabSelected="1" view="pageBreakPreview" topLeftCell="A77" zoomScale="70" zoomScaleSheetLayoutView="70" workbookViewId="0">
      <selection activeCell="M109" sqref="M109"/>
    </sheetView>
  </sheetViews>
  <sheetFormatPr defaultRowHeight="15" x14ac:dyDescent="0.25"/>
  <cols>
    <col min="1" max="1" width="5" style="17" customWidth="1"/>
    <col min="2" max="2" width="10.28515625" style="17" customWidth="1"/>
    <col min="3" max="3" width="9.140625" style="17" customWidth="1"/>
    <col min="4" max="4" width="9" style="17" customWidth="1"/>
    <col min="5" max="5" width="10.7109375" style="17" customWidth="1"/>
    <col min="6" max="6" width="10.85546875" style="17" customWidth="1"/>
    <col min="7" max="8" width="14.42578125" style="17" customWidth="1"/>
    <col min="9" max="9" width="28.28515625" style="17" customWidth="1"/>
    <col min="10" max="10" width="24.5703125" style="17" customWidth="1"/>
    <col min="11" max="11" width="21.5703125" style="17" customWidth="1"/>
    <col min="12" max="12" width="16.28515625" style="17" customWidth="1"/>
    <col min="13" max="13" width="18.28515625" style="17" customWidth="1"/>
    <col min="14" max="14" width="15.28515625" style="17" customWidth="1"/>
    <col min="15" max="15" width="18" style="17" customWidth="1"/>
    <col min="16" max="16" width="38" style="17" customWidth="1"/>
    <col min="17" max="16384" width="9.140625" style="17"/>
  </cols>
  <sheetData>
    <row r="1" spans="1:16" ht="14.25" customHeight="1" x14ac:dyDescent="0.25">
      <c r="P1" s="5" t="s">
        <v>0</v>
      </c>
    </row>
    <row r="2" spans="1:16" ht="13.5" customHeight="1" x14ac:dyDescent="0.25">
      <c r="P2" s="5" t="s">
        <v>1</v>
      </c>
    </row>
    <row r="3" spans="1:16" ht="12.75" customHeight="1" x14ac:dyDescent="0.25">
      <c r="P3" s="5" t="s">
        <v>2</v>
      </c>
    </row>
    <row r="6" spans="1:16" ht="21" customHeight="1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17.25" customHeight="1" x14ac:dyDescent="0.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5.75" customHeight="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1.25" customHeight="1" x14ac:dyDescent="0.25"/>
    <row r="10" spans="1:16" ht="21.75" customHeight="1" x14ac:dyDescent="0.25">
      <c r="A10" s="19" t="s">
        <v>6</v>
      </c>
      <c r="B10" s="20">
        <v>1000000</v>
      </c>
      <c r="C10" s="21" t="s">
        <v>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2.75" customHeight="1" x14ac:dyDescent="0.25">
      <c r="B11" s="1" t="s">
        <v>7</v>
      </c>
      <c r="C11" s="13" t="s">
        <v>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6.5" customHeight="1" x14ac:dyDescent="0.25">
      <c r="A12" s="19" t="s">
        <v>9</v>
      </c>
      <c r="B12" s="20">
        <v>1010000</v>
      </c>
      <c r="C12" s="21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9.75" customHeight="1" x14ac:dyDescent="0.25">
      <c r="B13" s="1" t="s">
        <v>7</v>
      </c>
      <c r="C13" s="13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8" customHeight="1" x14ac:dyDescent="0.25">
      <c r="A14" s="19" t="s">
        <v>11</v>
      </c>
      <c r="B14" s="20">
        <v>1015030</v>
      </c>
      <c r="C14" s="22" t="s">
        <v>210</v>
      </c>
      <c r="D14" s="21" t="s">
        <v>211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1.25" customHeight="1" x14ac:dyDescent="0.25">
      <c r="B15" s="1" t="s">
        <v>7</v>
      </c>
      <c r="C15" s="1" t="s">
        <v>12</v>
      </c>
      <c r="D15" s="14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3.25" customHeight="1" x14ac:dyDescent="0.25">
      <c r="A16" s="19" t="s">
        <v>14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22" ht="10.5" customHeight="1" x14ac:dyDescent="0.25">
      <c r="P17" s="2" t="s">
        <v>16</v>
      </c>
    </row>
    <row r="18" spans="1:22" ht="35.25" customHeight="1" x14ac:dyDescent="0.25">
      <c r="A18" s="25" t="s">
        <v>17</v>
      </c>
      <c r="B18" s="25"/>
      <c r="C18" s="25"/>
      <c r="D18" s="25"/>
      <c r="E18" s="25"/>
      <c r="F18" s="25"/>
      <c r="G18" s="25" t="s">
        <v>18</v>
      </c>
      <c r="H18" s="25"/>
      <c r="I18" s="25"/>
      <c r="J18" s="25"/>
      <c r="K18" s="25"/>
      <c r="L18" s="25"/>
      <c r="M18" s="25" t="s">
        <v>22</v>
      </c>
      <c r="N18" s="25"/>
      <c r="O18" s="25"/>
      <c r="P18" s="25"/>
    </row>
    <row r="19" spans="1:22" ht="18.75" customHeight="1" x14ac:dyDescent="0.25">
      <c r="A19" s="26" t="s">
        <v>19</v>
      </c>
      <c r="B19" s="26"/>
      <c r="C19" s="26" t="s">
        <v>20</v>
      </c>
      <c r="D19" s="26"/>
      <c r="E19" s="26" t="s">
        <v>21</v>
      </c>
      <c r="F19" s="26"/>
      <c r="G19" s="26" t="s">
        <v>19</v>
      </c>
      <c r="H19" s="26"/>
      <c r="I19" s="26" t="s">
        <v>20</v>
      </c>
      <c r="J19" s="26"/>
      <c r="K19" s="26" t="s">
        <v>21</v>
      </c>
      <c r="L19" s="26"/>
      <c r="M19" s="26" t="s">
        <v>19</v>
      </c>
      <c r="N19" s="26"/>
      <c r="O19" s="27" t="s">
        <v>20</v>
      </c>
      <c r="P19" s="27" t="s">
        <v>21</v>
      </c>
    </row>
    <row r="20" spans="1:22" s="3" customFormat="1" ht="9" customHeight="1" x14ac:dyDescent="0.2">
      <c r="A20" s="12">
        <v>1</v>
      </c>
      <c r="B20" s="12"/>
      <c r="C20" s="12">
        <v>2</v>
      </c>
      <c r="D20" s="12"/>
      <c r="E20" s="12">
        <v>3</v>
      </c>
      <c r="F20" s="12"/>
      <c r="G20" s="12">
        <v>4</v>
      </c>
      <c r="H20" s="12"/>
      <c r="I20" s="12">
        <v>5</v>
      </c>
      <c r="J20" s="12"/>
      <c r="K20" s="12">
        <v>6</v>
      </c>
      <c r="L20" s="12"/>
      <c r="M20" s="12">
        <v>7</v>
      </c>
      <c r="N20" s="12"/>
      <c r="O20" s="10">
        <v>8</v>
      </c>
      <c r="P20" s="10">
        <v>9</v>
      </c>
    </row>
    <row r="21" spans="1:22" ht="16.5" customHeight="1" x14ac:dyDescent="0.25">
      <c r="A21" s="70">
        <f>34687467/1000</f>
        <v>34687.466999999997</v>
      </c>
      <c r="B21" s="70"/>
      <c r="C21" s="70">
        <f>21841432.2/1000</f>
        <v>21841.432199999999</v>
      </c>
      <c r="D21" s="70"/>
      <c r="E21" s="70">
        <f>A21+C21</f>
        <v>56528.8992</v>
      </c>
      <c r="F21" s="70"/>
      <c r="G21" s="70">
        <f>33826870.42/1000</f>
        <v>33826.870419999999</v>
      </c>
      <c r="H21" s="70"/>
      <c r="I21" s="70">
        <f>10822368.72/1000</f>
        <v>10822.36872</v>
      </c>
      <c r="J21" s="70"/>
      <c r="K21" s="70">
        <f>G21+I21</f>
        <v>44649.239139999998</v>
      </c>
      <c r="L21" s="70"/>
      <c r="M21" s="70">
        <f>G21-A21</f>
        <v>-860.59657999999763</v>
      </c>
      <c r="N21" s="70"/>
      <c r="O21" s="71">
        <f>I21-C21</f>
        <v>-11019.063479999999</v>
      </c>
      <c r="P21" s="72">
        <f>M21+O21</f>
        <v>-11879.660059999997</v>
      </c>
    </row>
    <row r="22" spans="1:22" ht="7.5" customHeight="1" x14ac:dyDescent="0.25"/>
    <row r="23" spans="1:22" x14ac:dyDescent="0.25">
      <c r="A23" s="19" t="s">
        <v>23</v>
      </c>
      <c r="B23" s="23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22" ht="11.25" customHeight="1" x14ac:dyDescent="0.25">
      <c r="P24" s="2" t="s">
        <v>16</v>
      </c>
    </row>
    <row r="25" spans="1:22" ht="36.75" customHeight="1" x14ac:dyDescent="0.25">
      <c r="A25" s="25" t="s">
        <v>25</v>
      </c>
      <c r="B25" s="25" t="s">
        <v>26</v>
      </c>
      <c r="C25" s="25" t="s">
        <v>27</v>
      </c>
      <c r="D25" s="25" t="s">
        <v>298</v>
      </c>
      <c r="E25" s="25"/>
      <c r="F25" s="25"/>
      <c r="G25" s="25" t="s">
        <v>28</v>
      </c>
      <c r="H25" s="25"/>
      <c r="I25" s="25"/>
      <c r="J25" s="25" t="s">
        <v>29</v>
      </c>
      <c r="K25" s="25"/>
      <c r="L25" s="25"/>
      <c r="M25" s="25" t="s">
        <v>22</v>
      </c>
      <c r="N25" s="25"/>
      <c r="O25" s="25"/>
      <c r="P25" s="32" t="s">
        <v>30</v>
      </c>
      <c r="Q25" s="33"/>
      <c r="R25" s="33"/>
      <c r="S25" s="33"/>
      <c r="T25" s="33"/>
      <c r="U25" s="33"/>
      <c r="V25" s="33"/>
    </row>
    <row r="26" spans="1:22" ht="31.5" customHeight="1" x14ac:dyDescent="0.25">
      <c r="A26" s="25"/>
      <c r="B26" s="25"/>
      <c r="C26" s="25"/>
      <c r="D26" s="25"/>
      <c r="E26" s="25"/>
      <c r="F26" s="25"/>
      <c r="G26" s="34" t="s">
        <v>19</v>
      </c>
      <c r="H26" s="34" t="s">
        <v>20</v>
      </c>
      <c r="I26" s="34" t="s">
        <v>21</v>
      </c>
      <c r="J26" s="34" t="s">
        <v>19</v>
      </c>
      <c r="K26" s="34" t="s">
        <v>20</v>
      </c>
      <c r="L26" s="34" t="s">
        <v>21</v>
      </c>
      <c r="M26" s="34" t="s">
        <v>19</v>
      </c>
      <c r="N26" s="34" t="s">
        <v>20</v>
      </c>
      <c r="O26" s="34" t="s">
        <v>21</v>
      </c>
      <c r="P26" s="32"/>
    </row>
    <row r="27" spans="1:22" s="4" customFormat="1" ht="10.5" x14ac:dyDescent="0.25">
      <c r="A27" s="10">
        <v>1</v>
      </c>
      <c r="B27" s="10">
        <v>2</v>
      </c>
      <c r="C27" s="10">
        <v>3</v>
      </c>
      <c r="D27" s="12">
        <v>4</v>
      </c>
      <c r="E27" s="12"/>
      <c r="F27" s="12"/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1">
        <v>14</v>
      </c>
    </row>
    <row r="28" spans="1:22" ht="54.75" customHeight="1" x14ac:dyDescent="0.25">
      <c r="A28" s="37">
        <v>1</v>
      </c>
      <c r="B28" s="37">
        <v>1015031</v>
      </c>
      <c r="C28" s="43" t="s">
        <v>210</v>
      </c>
      <c r="D28" s="47" t="s">
        <v>212</v>
      </c>
      <c r="E28" s="47"/>
      <c r="F28" s="47"/>
      <c r="G28" s="41">
        <f>G29+G30</f>
        <v>34687.466999999997</v>
      </c>
      <c r="H28" s="41">
        <f>H29+H30</f>
        <v>21841.432000000001</v>
      </c>
      <c r="I28" s="41">
        <f>G28+H28</f>
        <v>56528.898999999998</v>
      </c>
      <c r="J28" s="41">
        <f>J29+J30</f>
        <v>33826.870419999999</v>
      </c>
      <c r="K28" s="41">
        <f>K29+K30</f>
        <v>10822.368719999999</v>
      </c>
      <c r="L28" s="41">
        <f>J28+K28</f>
        <v>44649.239139999998</v>
      </c>
      <c r="M28" s="41">
        <f t="shared" ref="M28:N30" si="0">J28-G28</f>
        <v>-860.59657999999763</v>
      </c>
      <c r="N28" s="41">
        <f t="shared" si="0"/>
        <v>-11019.063280000002</v>
      </c>
      <c r="O28" s="41">
        <f>M28+N28</f>
        <v>-11879.65986</v>
      </c>
      <c r="P28" s="44"/>
    </row>
    <row r="29" spans="1:22" ht="88.5" customHeight="1" x14ac:dyDescent="0.25">
      <c r="A29" s="29">
        <v>2</v>
      </c>
      <c r="B29" s="29">
        <v>1015031</v>
      </c>
      <c r="C29" s="74" t="s">
        <v>210</v>
      </c>
      <c r="D29" s="47" t="s">
        <v>376</v>
      </c>
      <c r="E29" s="15"/>
      <c r="F29" s="15"/>
      <c r="G29" s="9">
        <f>34687467/1000</f>
        <v>34687.466999999997</v>
      </c>
      <c r="H29" s="9">
        <f>1424144/1000</f>
        <v>1424.144</v>
      </c>
      <c r="I29" s="9">
        <f>G29+H29</f>
        <v>36111.610999999997</v>
      </c>
      <c r="J29" s="9">
        <f>G21</f>
        <v>33826.870419999999</v>
      </c>
      <c r="K29" s="9">
        <f>1129471.44/1000</f>
        <v>1129.47144</v>
      </c>
      <c r="L29" s="9">
        <f>J29+K29</f>
        <v>34956.34186</v>
      </c>
      <c r="M29" s="41">
        <f t="shared" si="0"/>
        <v>-860.59657999999763</v>
      </c>
      <c r="N29" s="41">
        <f t="shared" si="0"/>
        <v>-294.67255999999998</v>
      </c>
      <c r="O29" s="9">
        <f>M29+N29</f>
        <v>-1155.2691399999976</v>
      </c>
      <c r="P29" s="44" t="s">
        <v>377</v>
      </c>
    </row>
    <row r="30" spans="1:22" ht="90" customHeight="1" x14ac:dyDescent="0.25">
      <c r="A30" s="29">
        <v>3</v>
      </c>
      <c r="B30" s="29">
        <v>1015031</v>
      </c>
      <c r="C30" s="74" t="s">
        <v>210</v>
      </c>
      <c r="D30" s="38" t="s">
        <v>378</v>
      </c>
      <c r="E30" s="39"/>
      <c r="F30" s="40"/>
      <c r="G30" s="9">
        <v>0</v>
      </c>
      <c r="H30" s="9">
        <f>20417288/1000</f>
        <v>20417.288</v>
      </c>
      <c r="I30" s="9">
        <f>G30+H30</f>
        <v>20417.288</v>
      </c>
      <c r="J30" s="9">
        <v>0</v>
      </c>
      <c r="K30" s="9">
        <f>9692897.28/1000</f>
        <v>9692.8972799999992</v>
      </c>
      <c r="L30" s="9">
        <f>J30+K30</f>
        <v>9692.8972799999992</v>
      </c>
      <c r="M30" s="41">
        <f t="shared" si="0"/>
        <v>0</v>
      </c>
      <c r="N30" s="41">
        <f t="shared" si="0"/>
        <v>-10724.390720000001</v>
      </c>
      <c r="O30" s="9">
        <f>M30+N30</f>
        <v>-10724.390720000001</v>
      </c>
      <c r="P30" s="113" t="s">
        <v>379</v>
      </c>
    </row>
    <row r="31" spans="1:22" ht="9" customHeight="1" x14ac:dyDescent="0.25">
      <c r="D31" s="46"/>
      <c r="E31" s="46"/>
      <c r="F31" s="46"/>
    </row>
    <row r="32" spans="1:22" x14ac:dyDescent="0.25">
      <c r="A32" s="17" t="s">
        <v>31</v>
      </c>
      <c r="B32" s="23" t="s">
        <v>32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11.25" customHeight="1" x14ac:dyDescent="0.25">
      <c r="P33" s="2" t="s">
        <v>16</v>
      </c>
    </row>
    <row r="34" spans="1:16" ht="37.5" customHeight="1" x14ac:dyDescent="0.25">
      <c r="A34" s="25" t="s">
        <v>33</v>
      </c>
      <c r="B34" s="25"/>
      <c r="C34" s="25"/>
      <c r="D34" s="25"/>
      <c r="E34" s="25"/>
      <c r="F34" s="25"/>
      <c r="G34" s="25" t="s">
        <v>28</v>
      </c>
      <c r="H34" s="25"/>
      <c r="I34" s="25"/>
      <c r="J34" s="25" t="s">
        <v>29</v>
      </c>
      <c r="K34" s="25"/>
      <c r="L34" s="25"/>
      <c r="M34" s="25" t="s">
        <v>22</v>
      </c>
      <c r="N34" s="25"/>
      <c r="O34" s="25"/>
      <c r="P34" s="25" t="s">
        <v>30</v>
      </c>
    </row>
    <row r="35" spans="1:16" ht="30" x14ac:dyDescent="0.25">
      <c r="A35" s="25"/>
      <c r="B35" s="25"/>
      <c r="C35" s="25"/>
      <c r="D35" s="25"/>
      <c r="E35" s="25"/>
      <c r="F35" s="25"/>
      <c r="G35" s="34" t="s">
        <v>19</v>
      </c>
      <c r="H35" s="34" t="s">
        <v>20</v>
      </c>
      <c r="I35" s="34" t="s">
        <v>21</v>
      </c>
      <c r="J35" s="34" t="s">
        <v>19</v>
      </c>
      <c r="K35" s="34" t="s">
        <v>20</v>
      </c>
      <c r="L35" s="34" t="s">
        <v>21</v>
      </c>
      <c r="M35" s="34" t="s">
        <v>19</v>
      </c>
      <c r="N35" s="34" t="s">
        <v>20</v>
      </c>
      <c r="O35" s="34" t="s">
        <v>21</v>
      </c>
      <c r="P35" s="25"/>
    </row>
    <row r="36" spans="1:16" s="4" customFormat="1" ht="10.5" x14ac:dyDescent="0.25">
      <c r="A36" s="12">
        <v>1</v>
      </c>
      <c r="B36" s="12"/>
      <c r="C36" s="12"/>
      <c r="D36" s="12"/>
      <c r="E36" s="12"/>
      <c r="F36" s="12"/>
      <c r="G36" s="10">
        <v>2</v>
      </c>
      <c r="H36" s="10">
        <v>3</v>
      </c>
      <c r="I36" s="10">
        <v>4</v>
      </c>
      <c r="J36" s="10">
        <v>5</v>
      </c>
      <c r="K36" s="10">
        <v>6</v>
      </c>
      <c r="L36" s="10">
        <v>7</v>
      </c>
      <c r="M36" s="10">
        <v>8</v>
      </c>
      <c r="N36" s="10">
        <v>9</v>
      </c>
      <c r="O36" s="10">
        <v>10</v>
      </c>
      <c r="P36" s="10">
        <v>11</v>
      </c>
    </row>
    <row r="37" spans="1:16" ht="113.25" customHeight="1" x14ac:dyDescent="0.25">
      <c r="A37" s="15" t="s">
        <v>54</v>
      </c>
      <c r="B37" s="15"/>
      <c r="C37" s="15"/>
      <c r="D37" s="15"/>
      <c r="E37" s="15"/>
      <c r="F37" s="15"/>
      <c r="G37" s="9">
        <v>0</v>
      </c>
      <c r="H37" s="9">
        <f>H30</f>
        <v>20417.288</v>
      </c>
      <c r="I37" s="9">
        <f>G37+H37</f>
        <v>20417.288</v>
      </c>
      <c r="J37" s="9">
        <v>0</v>
      </c>
      <c r="K37" s="9">
        <f>K30</f>
        <v>9692.8972799999992</v>
      </c>
      <c r="L37" s="9">
        <f>J37+K37</f>
        <v>9692.8972799999992</v>
      </c>
      <c r="M37" s="9">
        <f>G37-J37</f>
        <v>0</v>
      </c>
      <c r="N37" s="9">
        <f>K37-H37</f>
        <v>-10724.390720000001</v>
      </c>
      <c r="O37" s="9">
        <f>M37+N37</f>
        <v>-10724.390720000001</v>
      </c>
      <c r="P37" s="113" t="s">
        <v>379</v>
      </c>
    </row>
    <row r="39" spans="1:16" s="114" customFormat="1" x14ac:dyDescent="0.25">
      <c r="A39" s="114" t="s">
        <v>34</v>
      </c>
      <c r="B39" s="115" t="s">
        <v>35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</row>
    <row r="40" spans="1:16" s="114" customFormat="1" ht="11.25" customHeight="1" x14ac:dyDescent="0.25">
      <c r="P40" s="7" t="s">
        <v>16</v>
      </c>
    </row>
    <row r="41" spans="1:16" s="114" customFormat="1" ht="38.25" customHeight="1" x14ac:dyDescent="0.25">
      <c r="A41" s="116" t="s">
        <v>25</v>
      </c>
      <c r="B41" s="116" t="s">
        <v>26</v>
      </c>
      <c r="C41" s="32" t="s">
        <v>36</v>
      </c>
      <c r="D41" s="32"/>
      <c r="E41" s="32"/>
      <c r="F41" s="32"/>
      <c r="G41" s="32"/>
      <c r="H41" s="116" t="s">
        <v>37</v>
      </c>
      <c r="I41" s="32" t="s">
        <v>38</v>
      </c>
      <c r="J41" s="32"/>
      <c r="K41" s="32" t="s">
        <v>28</v>
      </c>
      <c r="L41" s="32"/>
      <c r="M41" s="32" t="s">
        <v>39</v>
      </c>
      <c r="N41" s="32"/>
      <c r="O41" s="32" t="s">
        <v>22</v>
      </c>
      <c r="P41" s="32"/>
    </row>
    <row r="42" spans="1:16" s="8" customFormat="1" ht="8.25" customHeight="1" x14ac:dyDescent="0.25">
      <c r="A42" s="11">
        <v>1</v>
      </c>
      <c r="B42" s="11">
        <v>2</v>
      </c>
      <c r="C42" s="16">
        <v>3</v>
      </c>
      <c r="D42" s="16"/>
      <c r="E42" s="16"/>
      <c r="F42" s="16"/>
      <c r="G42" s="16"/>
      <c r="H42" s="11">
        <v>4</v>
      </c>
      <c r="I42" s="16">
        <v>5</v>
      </c>
      <c r="J42" s="16"/>
      <c r="K42" s="16">
        <v>6</v>
      </c>
      <c r="L42" s="16"/>
      <c r="M42" s="16">
        <v>7</v>
      </c>
      <c r="N42" s="16"/>
      <c r="O42" s="16">
        <v>8</v>
      </c>
      <c r="P42" s="16"/>
    </row>
    <row r="43" spans="1:16" s="118" customFormat="1" ht="20.25" customHeight="1" x14ac:dyDescent="0.25">
      <c r="A43" s="35"/>
      <c r="B43" s="42">
        <v>1015031</v>
      </c>
      <c r="C43" s="119" t="s">
        <v>212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1"/>
    </row>
    <row r="44" spans="1:16" s="118" customFormat="1" ht="24" customHeight="1" x14ac:dyDescent="0.25">
      <c r="A44" s="42"/>
      <c r="B44" s="42"/>
      <c r="C44" s="119" t="s">
        <v>213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1"/>
    </row>
    <row r="45" spans="1:16" s="118" customFormat="1" ht="15.75" customHeight="1" x14ac:dyDescent="0.25">
      <c r="A45" s="42">
        <v>1</v>
      </c>
      <c r="B45" s="42"/>
      <c r="C45" s="122" t="s">
        <v>56</v>
      </c>
      <c r="D45" s="122"/>
      <c r="E45" s="122"/>
      <c r="F45" s="122"/>
      <c r="G45" s="122"/>
      <c r="H45" s="35"/>
      <c r="I45" s="117"/>
      <c r="J45" s="117"/>
      <c r="K45" s="117"/>
      <c r="L45" s="117"/>
      <c r="M45" s="117"/>
      <c r="N45" s="117"/>
      <c r="O45" s="117"/>
      <c r="P45" s="117"/>
    </row>
    <row r="46" spans="1:16" s="118" customFormat="1" ht="60.75" customHeight="1" x14ac:dyDescent="0.25">
      <c r="A46" s="42"/>
      <c r="B46" s="42"/>
      <c r="C46" s="123" t="s">
        <v>83</v>
      </c>
      <c r="D46" s="123"/>
      <c r="E46" s="123"/>
      <c r="F46" s="123"/>
      <c r="G46" s="123"/>
      <c r="H46" s="35" t="s">
        <v>58</v>
      </c>
      <c r="I46" s="28" t="s">
        <v>297</v>
      </c>
      <c r="J46" s="28"/>
      <c r="K46" s="124">
        <f>I29</f>
        <v>36111.610999999997</v>
      </c>
      <c r="L46" s="117"/>
      <c r="M46" s="124">
        <f>L29</f>
        <v>34956.34186</v>
      </c>
      <c r="N46" s="117"/>
      <c r="O46" s="124">
        <f>M46-K46</f>
        <v>-1155.2691399999967</v>
      </c>
      <c r="P46" s="117"/>
    </row>
    <row r="47" spans="1:16" s="118" customFormat="1" ht="42" customHeight="1" x14ac:dyDescent="0.25">
      <c r="A47" s="42"/>
      <c r="B47" s="42"/>
      <c r="C47" s="123" t="s">
        <v>214</v>
      </c>
      <c r="D47" s="123"/>
      <c r="E47" s="123"/>
      <c r="F47" s="123"/>
      <c r="G47" s="123"/>
      <c r="H47" s="35" t="s">
        <v>67</v>
      </c>
      <c r="I47" s="117" t="s">
        <v>89</v>
      </c>
      <c r="J47" s="117"/>
      <c r="K47" s="117">
        <v>10</v>
      </c>
      <c r="L47" s="117"/>
      <c r="M47" s="117">
        <v>10</v>
      </c>
      <c r="N47" s="117"/>
      <c r="O47" s="125">
        <f t="shared" ref="O47" si="1">K47-M47</f>
        <v>0</v>
      </c>
      <c r="P47" s="125"/>
    </row>
    <row r="48" spans="1:16" s="118" customFormat="1" ht="17.25" customHeight="1" x14ac:dyDescent="0.25">
      <c r="A48" s="42"/>
      <c r="B48" s="42"/>
      <c r="C48" s="123" t="s">
        <v>215</v>
      </c>
      <c r="D48" s="123"/>
      <c r="E48" s="123"/>
      <c r="F48" s="123"/>
      <c r="G48" s="123"/>
      <c r="H48" s="35" t="s">
        <v>67</v>
      </c>
      <c r="I48" s="117" t="s">
        <v>218</v>
      </c>
      <c r="J48" s="117"/>
      <c r="K48" s="117">
        <v>665.61</v>
      </c>
      <c r="L48" s="117"/>
      <c r="M48" s="117">
        <v>665.61</v>
      </c>
      <c r="N48" s="117"/>
      <c r="O48" s="126">
        <f>M48-K48</f>
        <v>0</v>
      </c>
      <c r="P48" s="126"/>
    </row>
    <row r="49" spans="1:16" s="118" customFormat="1" ht="19.5" customHeight="1" x14ac:dyDescent="0.25">
      <c r="A49" s="42"/>
      <c r="B49" s="42"/>
      <c r="C49" s="123" t="s">
        <v>216</v>
      </c>
      <c r="D49" s="123"/>
      <c r="E49" s="123"/>
      <c r="F49" s="123"/>
      <c r="G49" s="123"/>
      <c r="H49" s="35" t="s">
        <v>92</v>
      </c>
      <c r="I49" s="117" t="s">
        <v>218</v>
      </c>
      <c r="J49" s="117"/>
      <c r="K49" s="117">
        <v>261.33</v>
      </c>
      <c r="L49" s="117"/>
      <c r="M49" s="127">
        <v>261.33</v>
      </c>
      <c r="N49" s="127"/>
      <c r="O49" s="126">
        <f>M49-K49</f>
        <v>0</v>
      </c>
      <c r="P49" s="126"/>
    </row>
    <row r="50" spans="1:16" s="118" customFormat="1" ht="18" customHeight="1" x14ac:dyDescent="0.25">
      <c r="A50" s="42"/>
      <c r="B50" s="42"/>
      <c r="C50" s="123" t="s">
        <v>217</v>
      </c>
      <c r="D50" s="123"/>
      <c r="E50" s="123"/>
      <c r="F50" s="123"/>
      <c r="G50" s="123"/>
      <c r="H50" s="35" t="s">
        <v>96</v>
      </c>
      <c r="I50" s="117" t="s">
        <v>219</v>
      </c>
      <c r="J50" s="117"/>
      <c r="K50" s="128">
        <v>1004083</v>
      </c>
      <c r="L50" s="128"/>
      <c r="M50" s="128">
        <v>1002284.4</v>
      </c>
      <c r="N50" s="128"/>
      <c r="O50" s="129">
        <f>M50-K50</f>
        <v>-1798.5999999999767</v>
      </c>
      <c r="P50" s="130"/>
    </row>
    <row r="51" spans="1:16" s="118" customFormat="1" ht="20.25" customHeight="1" x14ac:dyDescent="0.25">
      <c r="A51" s="38" t="s">
        <v>233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</row>
    <row r="52" spans="1:16" s="118" customFormat="1" ht="33" customHeight="1" x14ac:dyDescent="0.25">
      <c r="A52" s="131" t="s">
        <v>380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3"/>
    </row>
    <row r="53" spans="1:16" s="118" customFormat="1" ht="21" customHeight="1" x14ac:dyDescent="0.25">
      <c r="A53" s="42">
        <v>2</v>
      </c>
      <c r="B53" s="42"/>
      <c r="C53" s="122" t="s">
        <v>64</v>
      </c>
      <c r="D53" s="122"/>
      <c r="E53" s="122"/>
      <c r="F53" s="122"/>
      <c r="G53" s="122"/>
      <c r="H53" s="35"/>
      <c r="I53" s="117"/>
      <c r="J53" s="117"/>
      <c r="K53" s="117"/>
      <c r="L53" s="117"/>
      <c r="M53" s="117"/>
      <c r="N53" s="117"/>
      <c r="O53" s="117"/>
      <c r="P53" s="117"/>
    </row>
    <row r="54" spans="1:16" s="118" customFormat="1" ht="21" customHeight="1" x14ac:dyDescent="0.25">
      <c r="A54" s="42"/>
      <c r="B54" s="42"/>
      <c r="C54" s="123" t="s">
        <v>220</v>
      </c>
      <c r="D54" s="123"/>
      <c r="E54" s="123"/>
      <c r="F54" s="123"/>
      <c r="G54" s="123"/>
      <c r="H54" s="35" t="s">
        <v>92</v>
      </c>
      <c r="I54" s="117" t="s">
        <v>175</v>
      </c>
      <c r="J54" s="117"/>
      <c r="K54" s="117">
        <v>6476</v>
      </c>
      <c r="L54" s="117"/>
      <c r="M54" s="99">
        <v>7509</v>
      </c>
      <c r="N54" s="99"/>
      <c r="O54" s="125">
        <f>M54-K54</f>
        <v>1033</v>
      </c>
      <c r="P54" s="125"/>
    </row>
    <row r="55" spans="1:16" s="118" customFormat="1" ht="30.75" customHeight="1" x14ac:dyDescent="0.25">
      <c r="A55" s="42"/>
      <c r="B55" s="42"/>
      <c r="C55" s="131" t="s">
        <v>221</v>
      </c>
      <c r="D55" s="132"/>
      <c r="E55" s="132"/>
      <c r="F55" s="132"/>
      <c r="G55" s="133"/>
      <c r="H55" s="35" t="s">
        <v>92</v>
      </c>
      <c r="I55" s="134" t="s">
        <v>222</v>
      </c>
      <c r="J55" s="135"/>
      <c r="K55" s="134">
        <v>3415</v>
      </c>
      <c r="L55" s="135"/>
      <c r="M55" s="136">
        <f>((2*3415)+6339)/3</f>
        <v>4389.666666666667</v>
      </c>
      <c r="N55" s="137"/>
      <c r="O55" s="125">
        <f>M55-K55</f>
        <v>974.66666666666697</v>
      </c>
      <c r="P55" s="125"/>
    </row>
    <row r="56" spans="1:16" s="118" customFormat="1" ht="21" customHeight="1" x14ac:dyDescent="0.25">
      <c r="A56" s="38" t="s">
        <v>233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</row>
    <row r="57" spans="1:16" s="118" customFormat="1" ht="31.5" customHeight="1" x14ac:dyDescent="0.25">
      <c r="A57" s="131" t="s">
        <v>278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3"/>
    </row>
    <row r="58" spans="1:16" s="118" customFormat="1" ht="21" customHeight="1" x14ac:dyDescent="0.25">
      <c r="A58" s="42">
        <v>3</v>
      </c>
      <c r="B58" s="42"/>
      <c r="C58" s="122" t="s">
        <v>68</v>
      </c>
      <c r="D58" s="122"/>
      <c r="E58" s="122"/>
      <c r="F58" s="122"/>
      <c r="G58" s="122"/>
      <c r="H58" s="35"/>
      <c r="I58" s="117"/>
      <c r="J58" s="117"/>
      <c r="K58" s="117"/>
      <c r="L58" s="117"/>
      <c r="M58" s="117"/>
      <c r="N58" s="117"/>
      <c r="O58" s="117"/>
      <c r="P58" s="117"/>
    </row>
    <row r="59" spans="1:16" s="118" customFormat="1" ht="31.5" customHeight="1" x14ac:dyDescent="0.25">
      <c r="A59" s="42"/>
      <c r="B59" s="42"/>
      <c r="C59" s="123" t="s">
        <v>223</v>
      </c>
      <c r="D59" s="123"/>
      <c r="E59" s="123"/>
      <c r="F59" s="123"/>
      <c r="G59" s="123"/>
      <c r="H59" s="35" t="s">
        <v>96</v>
      </c>
      <c r="I59" s="117" t="s">
        <v>72</v>
      </c>
      <c r="J59" s="117"/>
      <c r="K59" s="138">
        <f>K46/K48*1000</f>
        <v>54253.40815192079</v>
      </c>
      <c r="L59" s="138"/>
      <c r="M59" s="138">
        <f>M46/M48*1000</f>
        <v>52517.753429185257</v>
      </c>
      <c r="N59" s="138"/>
      <c r="O59" s="125">
        <f>M59-K59</f>
        <v>-1735.6547227355331</v>
      </c>
      <c r="P59" s="125"/>
    </row>
    <row r="60" spans="1:16" s="118" customFormat="1" ht="21" customHeight="1" x14ac:dyDescent="0.25">
      <c r="A60" s="42"/>
      <c r="B60" s="42"/>
      <c r="C60" s="123" t="s">
        <v>224</v>
      </c>
      <c r="D60" s="123"/>
      <c r="E60" s="123"/>
      <c r="F60" s="123"/>
      <c r="G60" s="123"/>
      <c r="H60" s="35" t="s">
        <v>96</v>
      </c>
      <c r="I60" s="117" t="s">
        <v>72</v>
      </c>
      <c r="J60" s="117"/>
      <c r="K60" s="117">
        <v>3760</v>
      </c>
      <c r="L60" s="117"/>
      <c r="M60" s="138">
        <f>((2*3760)+4583)/3</f>
        <v>4034.3333333333335</v>
      </c>
      <c r="N60" s="138"/>
      <c r="O60" s="125">
        <f>M60-K60</f>
        <v>274.33333333333348</v>
      </c>
      <c r="P60" s="125"/>
    </row>
    <row r="61" spans="1:16" s="118" customFormat="1" ht="33" customHeight="1" x14ac:dyDescent="0.25">
      <c r="A61" s="42"/>
      <c r="B61" s="42"/>
      <c r="C61" s="123" t="s">
        <v>225</v>
      </c>
      <c r="D61" s="123"/>
      <c r="E61" s="123"/>
      <c r="F61" s="123"/>
      <c r="G61" s="123"/>
      <c r="H61" s="35" t="s">
        <v>96</v>
      </c>
      <c r="I61" s="117" t="s">
        <v>72</v>
      </c>
      <c r="J61" s="117"/>
      <c r="K61" s="138">
        <f>K46/K54*1000</f>
        <v>5576.2215873996292</v>
      </c>
      <c r="L61" s="138"/>
      <c r="M61" s="138">
        <f>M46/M54*1000</f>
        <v>4655.2592702090824</v>
      </c>
      <c r="N61" s="138"/>
      <c r="O61" s="125">
        <f>M61-K61</f>
        <v>-920.96231719054686</v>
      </c>
      <c r="P61" s="125"/>
    </row>
    <row r="62" spans="1:16" s="118" customFormat="1" ht="30.75" customHeight="1" x14ac:dyDescent="0.25">
      <c r="A62" s="42"/>
      <c r="B62" s="42"/>
      <c r="C62" s="123" t="s">
        <v>226</v>
      </c>
      <c r="D62" s="123"/>
      <c r="E62" s="123"/>
      <c r="F62" s="123"/>
      <c r="G62" s="123"/>
      <c r="H62" s="35" t="s">
        <v>96</v>
      </c>
      <c r="I62" s="117" t="s">
        <v>72</v>
      </c>
      <c r="J62" s="117"/>
      <c r="K62" s="138">
        <f>K50/K55</f>
        <v>294.02137628111274</v>
      </c>
      <c r="L62" s="138"/>
      <c r="M62" s="138">
        <f>M50/M55</f>
        <v>228.32813425468902</v>
      </c>
      <c r="N62" s="138"/>
      <c r="O62" s="125">
        <f>M62-K62</f>
        <v>-65.693242026423718</v>
      </c>
      <c r="P62" s="125"/>
    </row>
    <row r="63" spans="1:16" s="118" customFormat="1" ht="21" customHeight="1" x14ac:dyDescent="0.25">
      <c r="A63" s="38" t="s">
        <v>233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0"/>
    </row>
    <row r="64" spans="1:16" s="118" customFormat="1" ht="50.25" customHeight="1" x14ac:dyDescent="0.25">
      <c r="A64" s="131" t="s">
        <v>381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3"/>
    </row>
    <row r="65" spans="1:16" s="118" customFormat="1" ht="21" customHeight="1" x14ac:dyDescent="0.25">
      <c r="A65" s="42">
        <v>4</v>
      </c>
      <c r="B65" s="42"/>
      <c r="C65" s="122" t="s">
        <v>74</v>
      </c>
      <c r="D65" s="122"/>
      <c r="E65" s="122"/>
      <c r="F65" s="122"/>
      <c r="G65" s="122"/>
      <c r="H65" s="35"/>
      <c r="I65" s="117"/>
      <c r="J65" s="117"/>
      <c r="K65" s="117"/>
      <c r="L65" s="117"/>
      <c r="M65" s="117"/>
      <c r="N65" s="117"/>
      <c r="O65" s="117"/>
      <c r="P65" s="117"/>
    </row>
    <row r="66" spans="1:16" s="118" customFormat="1" ht="30" customHeight="1" x14ac:dyDescent="0.25">
      <c r="A66" s="42"/>
      <c r="B66" s="42"/>
      <c r="C66" s="123" t="s">
        <v>227</v>
      </c>
      <c r="D66" s="123"/>
      <c r="E66" s="123"/>
      <c r="F66" s="123"/>
      <c r="G66" s="123"/>
      <c r="H66" s="35" t="s">
        <v>92</v>
      </c>
      <c r="I66" s="117" t="s">
        <v>114</v>
      </c>
      <c r="J66" s="117"/>
      <c r="K66" s="138">
        <v>1499</v>
      </c>
      <c r="L66" s="138"/>
      <c r="M66" s="138">
        <v>1932</v>
      </c>
      <c r="N66" s="138"/>
      <c r="O66" s="125">
        <f>M66-K66</f>
        <v>433</v>
      </c>
      <c r="P66" s="125"/>
    </row>
    <row r="67" spans="1:16" s="118" customFormat="1" ht="32.25" customHeight="1" x14ac:dyDescent="0.25">
      <c r="A67" s="42"/>
      <c r="B67" s="42"/>
      <c r="C67" s="123" t="s">
        <v>228</v>
      </c>
      <c r="D67" s="123"/>
      <c r="E67" s="123"/>
      <c r="F67" s="123"/>
      <c r="G67" s="123"/>
      <c r="H67" s="35" t="s">
        <v>92</v>
      </c>
      <c r="I67" s="117" t="s">
        <v>114</v>
      </c>
      <c r="J67" s="117"/>
      <c r="K67" s="117">
        <v>48</v>
      </c>
      <c r="L67" s="117"/>
      <c r="M67" s="117">
        <f>16+184</f>
        <v>200</v>
      </c>
      <c r="N67" s="117"/>
      <c r="O67" s="125">
        <f>M67-K67</f>
        <v>152</v>
      </c>
      <c r="P67" s="125"/>
    </row>
    <row r="68" spans="1:16" s="118" customFormat="1" ht="19.5" customHeight="1" x14ac:dyDescent="0.25">
      <c r="A68" s="38" t="s">
        <v>233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40"/>
    </row>
    <row r="69" spans="1:16" s="118" customFormat="1" ht="34.5" customHeight="1" x14ac:dyDescent="0.25">
      <c r="A69" s="131" t="s">
        <v>382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3"/>
    </row>
    <row r="70" spans="1:16" s="114" customFormat="1" ht="16.5" customHeight="1" x14ac:dyDescent="0.25">
      <c r="A70" s="42"/>
      <c r="B70" s="42">
        <v>1015031</v>
      </c>
      <c r="C70" s="119" t="s">
        <v>229</v>
      </c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1"/>
    </row>
    <row r="71" spans="1:16" s="114" customFormat="1" x14ac:dyDescent="0.25">
      <c r="A71" s="42">
        <v>1</v>
      </c>
      <c r="B71" s="42"/>
      <c r="C71" s="139" t="s">
        <v>56</v>
      </c>
      <c r="D71" s="139"/>
      <c r="E71" s="139"/>
      <c r="F71" s="139"/>
      <c r="G71" s="139"/>
      <c r="H71" s="140"/>
      <c r="I71" s="141"/>
      <c r="J71" s="141"/>
      <c r="K71" s="141"/>
      <c r="L71" s="141"/>
      <c r="M71" s="141"/>
      <c r="N71" s="141"/>
      <c r="O71" s="141"/>
      <c r="P71" s="141"/>
    </row>
    <row r="72" spans="1:16" s="114" customFormat="1" ht="59.25" customHeight="1" x14ac:dyDescent="0.25">
      <c r="A72" s="42"/>
      <c r="B72" s="42"/>
      <c r="C72" s="123" t="s">
        <v>57</v>
      </c>
      <c r="D72" s="123"/>
      <c r="E72" s="123"/>
      <c r="F72" s="123"/>
      <c r="G72" s="123"/>
      <c r="H72" s="35" t="s">
        <v>58</v>
      </c>
      <c r="I72" s="28" t="s">
        <v>297</v>
      </c>
      <c r="J72" s="28"/>
      <c r="K72" s="124">
        <f>I30</f>
        <v>20417.288</v>
      </c>
      <c r="L72" s="124"/>
      <c r="M72" s="124">
        <f>L37</f>
        <v>9692.8972799999992</v>
      </c>
      <c r="N72" s="124"/>
      <c r="O72" s="124">
        <f>M72-K72</f>
        <v>-10724.390720000001</v>
      </c>
      <c r="P72" s="124"/>
    </row>
    <row r="73" spans="1:16" s="114" customFormat="1" ht="29.25" customHeight="1" x14ac:dyDescent="0.25">
      <c r="A73" s="42"/>
      <c r="B73" s="42"/>
      <c r="C73" s="123" t="s">
        <v>128</v>
      </c>
      <c r="D73" s="123"/>
      <c r="E73" s="123"/>
      <c r="F73" s="123"/>
      <c r="G73" s="123"/>
      <c r="H73" s="35" t="s">
        <v>58</v>
      </c>
      <c r="I73" s="117" t="s">
        <v>310</v>
      </c>
      <c r="J73" s="117"/>
      <c r="K73" s="124">
        <f>394581/1000</f>
        <v>394.58100000000002</v>
      </c>
      <c r="L73" s="124"/>
      <c r="M73" s="124">
        <f>394581/1000</f>
        <v>394.58100000000002</v>
      </c>
      <c r="N73" s="124"/>
      <c r="O73" s="124">
        <f>M73-K73</f>
        <v>0</v>
      </c>
      <c r="P73" s="124"/>
    </row>
    <row r="74" spans="1:16" s="114" customFormat="1" ht="30" customHeight="1" x14ac:dyDescent="0.25">
      <c r="A74" s="42"/>
      <c r="B74" s="42"/>
      <c r="C74" s="123" t="s">
        <v>230</v>
      </c>
      <c r="D74" s="123"/>
      <c r="E74" s="123"/>
      <c r="F74" s="123"/>
      <c r="G74" s="123"/>
      <c r="H74" s="35" t="s">
        <v>58</v>
      </c>
      <c r="I74" s="117" t="s">
        <v>310</v>
      </c>
      <c r="J74" s="117"/>
      <c r="K74" s="124">
        <f>K72-K73</f>
        <v>20022.707000000002</v>
      </c>
      <c r="L74" s="124"/>
      <c r="M74" s="124">
        <f>9253996.28/1000</f>
        <v>9253.9962799999994</v>
      </c>
      <c r="N74" s="124"/>
      <c r="O74" s="124">
        <f>M74-K74</f>
        <v>-10768.710720000003</v>
      </c>
      <c r="P74" s="124"/>
    </row>
    <row r="75" spans="1:16" s="114" customFormat="1" x14ac:dyDescent="0.25">
      <c r="A75" s="42">
        <v>2</v>
      </c>
      <c r="B75" s="42"/>
      <c r="C75" s="122" t="s">
        <v>64</v>
      </c>
      <c r="D75" s="122"/>
      <c r="E75" s="122"/>
      <c r="F75" s="122"/>
      <c r="G75" s="122"/>
      <c r="H75" s="35"/>
      <c r="I75" s="117"/>
      <c r="J75" s="117"/>
      <c r="K75" s="124"/>
      <c r="L75" s="124"/>
      <c r="M75" s="124"/>
      <c r="N75" s="124"/>
      <c r="O75" s="124"/>
      <c r="P75" s="124"/>
    </row>
    <row r="76" spans="1:16" s="114" customFormat="1" ht="27.75" customHeight="1" x14ac:dyDescent="0.25">
      <c r="A76" s="42"/>
      <c r="B76" s="42"/>
      <c r="C76" s="123" t="s">
        <v>147</v>
      </c>
      <c r="D76" s="123"/>
      <c r="E76" s="123"/>
      <c r="F76" s="123"/>
      <c r="G76" s="123"/>
      <c r="H76" s="35" t="s">
        <v>67</v>
      </c>
      <c r="I76" s="117" t="s">
        <v>310</v>
      </c>
      <c r="J76" s="117"/>
      <c r="K76" s="125">
        <v>5</v>
      </c>
      <c r="L76" s="125"/>
      <c r="M76" s="125">
        <v>5</v>
      </c>
      <c r="N76" s="125"/>
      <c r="O76" s="125">
        <f>M76-K76</f>
        <v>0</v>
      </c>
      <c r="P76" s="125"/>
    </row>
    <row r="77" spans="1:16" s="114" customFormat="1" ht="30.75" customHeight="1" x14ac:dyDescent="0.25">
      <c r="A77" s="42"/>
      <c r="B77" s="42"/>
      <c r="C77" s="123" t="s">
        <v>231</v>
      </c>
      <c r="D77" s="123"/>
      <c r="E77" s="123"/>
      <c r="F77" s="123"/>
      <c r="G77" s="123"/>
      <c r="H77" s="35" t="s">
        <v>67</v>
      </c>
      <c r="I77" s="117" t="s">
        <v>310</v>
      </c>
      <c r="J77" s="117"/>
      <c r="K77" s="125">
        <v>3</v>
      </c>
      <c r="L77" s="125"/>
      <c r="M77" s="125">
        <v>2</v>
      </c>
      <c r="N77" s="125"/>
      <c r="O77" s="125">
        <f>M77-K77</f>
        <v>-1</v>
      </c>
      <c r="P77" s="125"/>
    </row>
    <row r="78" spans="1:16" s="114" customFormat="1" x14ac:dyDescent="0.25">
      <c r="A78" s="42">
        <v>3</v>
      </c>
      <c r="B78" s="42"/>
      <c r="C78" s="122" t="s">
        <v>68</v>
      </c>
      <c r="D78" s="122"/>
      <c r="E78" s="122"/>
      <c r="F78" s="122"/>
      <c r="G78" s="122"/>
      <c r="H78" s="35"/>
      <c r="I78" s="117"/>
      <c r="J78" s="117"/>
      <c r="K78" s="124"/>
      <c r="L78" s="124"/>
      <c r="M78" s="124"/>
      <c r="N78" s="124"/>
      <c r="O78" s="124"/>
      <c r="P78" s="124"/>
    </row>
    <row r="79" spans="1:16" s="114" customFormat="1" ht="33" customHeight="1" x14ac:dyDescent="0.25">
      <c r="A79" s="42"/>
      <c r="B79" s="42"/>
      <c r="C79" s="123" t="s">
        <v>131</v>
      </c>
      <c r="D79" s="123"/>
      <c r="E79" s="123"/>
      <c r="F79" s="123"/>
      <c r="G79" s="123"/>
      <c r="H79" s="35" t="s">
        <v>58</v>
      </c>
      <c r="I79" s="117" t="s">
        <v>72</v>
      </c>
      <c r="J79" s="117"/>
      <c r="K79" s="124">
        <f>K73/K76</f>
        <v>78.916200000000003</v>
      </c>
      <c r="L79" s="124"/>
      <c r="M79" s="124">
        <f>M73/M76</f>
        <v>78.916200000000003</v>
      </c>
      <c r="N79" s="124"/>
      <c r="O79" s="124" t="s">
        <v>73</v>
      </c>
      <c r="P79" s="124"/>
    </row>
    <row r="80" spans="1:16" s="114" customFormat="1" ht="31.5" customHeight="1" x14ac:dyDescent="0.25">
      <c r="A80" s="42"/>
      <c r="B80" s="42"/>
      <c r="C80" s="123" t="s">
        <v>232</v>
      </c>
      <c r="D80" s="123"/>
      <c r="E80" s="123"/>
      <c r="F80" s="123"/>
      <c r="G80" s="123"/>
      <c r="H80" s="35" t="s">
        <v>58</v>
      </c>
      <c r="I80" s="117" t="s">
        <v>72</v>
      </c>
      <c r="J80" s="117"/>
      <c r="K80" s="124">
        <f>K74/K77</f>
        <v>6674.2356666666674</v>
      </c>
      <c r="L80" s="124"/>
      <c r="M80" s="124">
        <f>M74/M77</f>
        <v>4626.9981399999997</v>
      </c>
      <c r="N80" s="124"/>
      <c r="O80" s="124" t="s">
        <v>73</v>
      </c>
      <c r="P80" s="124"/>
    </row>
    <row r="81" spans="1:16" s="114" customFormat="1" x14ac:dyDescent="0.25">
      <c r="A81" s="42">
        <v>4</v>
      </c>
      <c r="B81" s="42"/>
      <c r="C81" s="122" t="s">
        <v>74</v>
      </c>
      <c r="D81" s="122"/>
      <c r="E81" s="122"/>
      <c r="F81" s="122"/>
      <c r="G81" s="122"/>
      <c r="H81" s="35"/>
      <c r="I81" s="117"/>
      <c r="J81" s="117"/>
      <c r="K81" s="124"/>
      <c r="L81" s="124"/>
      <c r="M81" s="124"/>
      <c r="N81" s="124"/>
      <c r="O81" s="124"/>
      <c r="P81" s="124"/>
    </row>
    <row r="82" spans="1:16" s="114" customFormat="1" ht="42" customHeight="1" x14ac:dyDescent="0.25">
      <c r="A82" s="42"/>
      <c r="B82" s="42"/>
      <c r="C82" s="123" t="s">
        <v>75</v>
      </c>
      <c r="D82" s="123"/>
      <c r="E82" s="123"/>
      <c r="F82" s="123"/>
      <c r="G82" s="123"/>
      <c r="H82" s="35" t="s">
        <v>77</v>
      </c>
      <c r="I82" s="117" t="s">
        <v>72</v>
      </c>
      <c r="J82" s="117"/>
      <c r="K82" s="125">
        <v>100</v>
      </c>
      <c r="L82" s="125"/>
      <c r="M82" s="125">
        <f>M73/K73*100</f>
        <v>100</v>
      </c>
      <c r="N82" s="125"/>
      <c r="O82" s="125">
        <f>K82-M82</f>
        <v>0</v>
      </c>
      <c r="P82" s="125"/>
    </row>
    <row r="83" spans="1:16" s="114" customFormat="1" ht="33" customHeight="1" x14ac:dyDescent="0.25">
      <c r="A83" s="42"/>
      <c r="B83" s="42"/>
      <c r="C83" s="123" t="s">
        <v>76</v>
      </c>
      <c r="D83" s="123"/>
      <c r="E83" s="123"/>
      <c r="F83" s="123"/>
      <c r="G83" s="123"/>
      <c r="H83" s="35" t="s">
        <v>77</v>
      </c>
      <c r="I83" s="117" t="s">
        <v>72</v>
      </c>
      <c r="J83" s="117"/>
      <c r="K83" s="125">
        <v>100</v>
      </c>
      <c r="L83" s="125"/>
      <c r="M83" s="125">
        <f>M74/K74*100</f>
        <v>46.217508351892675</v>
      </c>
      <c r="N83" s="125"/>
      <c r="O83" s="125">
        <f>M83-K83</f>
        <v>-53.782491648107325</v>
      </c>
      <c r="P83" s="125"/>
    </row>
    <row r="84" spans="1:16" s="114" customFormat="1" ht="18" customHeight="1" x14ac:dyDescent="0.25">
      <c r="A84" s="38" t="s">
        <v>233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40"/>
    </row>
    <row r="85" spans="1:16" s="114" customFormat="1" ht="18" customHeight="1" x14ac:dyDescent="0.25">
      <c r="A85" s="131" t="s">
        <v>279</v>
      </c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3"/>
    </row>
    <row r="86" spans="1:16" s="114" customFormat="1" ht="21" customHeight="1" x14ac:dyDescent="0.25">
      <c r="A86" s="47" t="s">
        <v>240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spans="1:16" s="114" customFormat="1" ht="44.25" customHeight="1" x14ac:dyDescent="0.25">
      <c r="A87" s="131" t="s">
        <v>280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3"/>
    </row>
    <row r="88" spans="1:16" s="82" customFormat="1" x14ac:dyDescent="0.25">
      <c r="H88" s="83"/>
    </row>
    <row r="89" spans="1:16" x14ac:dyDescent="0.25">
      <c r="A89" s="17" t="s">
        <v>40</v>
      </c>
      <c r="B89" s="23" t="s">
        <v>305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1:16" ht="12" customHeight="1" x14ac:dyDescent="0.25">
      <c r="P90" s="2" t="s">
        <v>16</v>
      </c>
    </row>
    <row r="91" spans="1:16" ht="47.25" customHeight="1" x14ac:dyDescent="0.25">
      <c r="A91" s="59" t="s">
        <v>41</v>
      </c>
      <c r="B91" s="60" t="s">
        <v>42</v>
      </c>
      <c r="C91" s="61"/>
      <c r="D91" s="59" t="s">
        <v>26</v>
      </c>
      <c r="E91" s="25" t="s">
        <v>43</v>
      </c>
      <c r="F91" s="25"/>
      <c r="G91" s="25"/>
      <c r="H91" s="25" t="s">
        <v>44</v>
      </c>
      <c r="I91" s="25"/>
      <c r="J91" s="25"/>
      <c r="K91" s="25" t="s">
        <v>45</v>
      </c>
      <c r="L91" s="25"/>
      <c r="M91" s="25"/>
      <c r="N91" s="25" t="s">
        <v>46</v>
      </c>
      <c r="O91" s="25"/>
      <c r="P91" s="25"/>
    </row>
    <row r="92" spans="1:16" ht="30" x14ac:dyDescent="0.25">
      <c r="A92" s="62"/>
      <c r="B92" s="63"/>
      <c r="C92" s="64"/>
      <c r="D92" s="62"/>
      <c r="E92" s="34" t="s">
        <v>19</v>
      </c>
      <c r="F92" s="34" t="s">
        <v>20</v>
      </c>
      <c r="G92" s="34" t="s">
        <v>21</v>
      </c>
      <c r="H92" s="34" t="s">
        <v>19</v>
      </c>
      <c r="I92" s="34" t="s">
        <v>20</v>
      </c>
      <c r="J92" s="34" t="s">
        <v>21</v>
      </c>
      <c r="K92" s="34" t="s">
        <v>19</v>
      </c>
      <c r="L92" s="34" t="s">
        <v>20</v>
      </c>
      <c r="M92" s="34" t="s">
        <v>21</v>
      </c>
      <c r="N92" s="34" t="s">
        <v>19</v>
      </c>
      <c r="O92" s="34" t="s">
        <v>20</v>
      </c>
      <c r="P92" s="34" t="s">
        <v>21</v>
      </c>
    </row>
    <row r="93" spans="1:16" s="4" customFormat="1" ht="8.25" customHeight="1" x14ac:dyDescent="0.25">
      <c r="A93" s="10">
        <v>1</v>
      </c>
      <c r="B93" s="12">
        <v>2</v>
      </c>
      <c r="C93" s="12"/>
      <c r="D93" s="10">
        <v>3</v>
      </c>
      <c r="E93" s="10">
        <v>4</v>
      </c>
      <c r="F93" s="10">
        <v>5</v>
      </c>
      <c r="G93" s="10">
        <v>6</v>
      </c>
      <c r="H93" s="10">
        <v>7</v>
      </c>
      <c r="I93" s="10">
        <v>8</v>
      </c>
      <c r="J93" s="10">
        <v>9</v>
      </c>
      <c r="K93" s="10">
        <v>10</v>
      </c>
      <c r="L93" s="10">
        <v>11</v>
      </c>
      <c r="M93" s="10">
        <v>12</v>
      </c>
      <c r="N93" s="10">
        <v>13</v>
      </c>
      <c r="O93" s="10">
        <v>14</v>
      </c>
      <c r="P93" s="10">
        <v>15</v>
      </c>
    </row>
    <row r="94" spans="1:16" x14ac:dyDescent="0.25">
      <c r="A94" s="57"/>
      <c r="B94" s="67"/>
      <c r="C94" s="68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</row>
    <row r="95" spans="1:16" ht="5.25" customHeight="1" x14ac:dyDescent="0.25"/>
    <row r="96" spans="1:16" ht="12" customHeight="1" x14ac:dyDescent="0.25">
      <c r="A96" s="23" t="s">
        <v>306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1:16" ht="10.5" customHeight="1" x14ac:dyDescent="0.25">
      <c r="A97" s="23" t="s">
        <v>307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1:16" ht="11.25" customHeight="1" x14ac:dyDescent="0.25">
      <c r="A98" s="23" t="s">
        <v>308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104" spans="1:16" x14ac:dyDescent="0.25">
      <c r="A104" s="65" t="s">
        <v>47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5" t="s">
        <v>48</v>
      </c>
      <c r="N104" s="66"/>
      <c r="O104" s="66"/>
    </row>
    <row r="108" spans="1:16" x14ac:dyDescent="0.25">
      <c r="A108" s="65" t="str">
        <f>'1010'!A116</f>
        <v xml:space="preserve">Спеціаліст І категорії, бухгалтер управління освіти і науки 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 t="str">
        <f>'1010'!M116</f>
        <v>Ю.Філатова</v>
      </c>
    </row>
  </sheetData>
  <mergeCells count="246">
    <mergeCell ref="A85:P85"/>
    <mergeCell ref="A86:P86"/>
    <mergeCell ref="A87:P87"/>
    <mergeCell ref="A51:P51"/>
    <mergeCell ref="A52:P52"/>
    <mergeCell ref="A56:P56"/>
    <mergeCell ref="A57:P57"/>
    <mergeCell ref="A63:P63"/>
    <mergeCell ref="A64:P64"/>
    <mergeCell ref="A68:P68"/>
    <mergeCell ref="A69:P69"/>
    <mergeCell ref="A84:P84"/>
    <mergeCell ref="C82:G82"/>
    <mergeCell ref="I82:J82"/>
    <mergeCell ref="K82:L82"/>
    <mergeCell ref="M82:N82"/>
    <mergeCell ref="O82:P82"/>
    <mergeCell ref="C83:G83"/>
    <mergeCell ref="I83:J83"/>
    <mergeCell ref="K83:L83"/>
    <mergeCell ref="M83:N83"/>
    <mergeCell ref="O83:P83"/>
    <mergeCell ref="C80:G80"/>
    <mergeCell ref="I80:J80"/>
    <mergeCell ref="B89:P89"/>
    <mergeCell ref="N91:P91"/>
    <mergeCell ref="B93:C93"/>
    <mergeCell ref="A96:P96"/>
    <mergeCell ref="A97:P97"/>
    <mergeCell ref="A98:P98"/>
    <mergeCell ref="A91:A92"/>
    <mergeCell ref="B91:C92"/>
    <mergeCell ref="D91:D92"/>
    <mergeCell ref="E91:G91"/>
    <mergeCell ref="H91:J91"/>
    <mergeCell ref="K91:M91"/>
    <mergeCell ref="B94:C94"/>
    <mergeCell ref="K80:L80"/>
    <mergeCell ref="M80:N80"/>
    <mergeCell ref="O80:P80"/>
    <mergeCell ref="C81:G81"/>
    <mergeCell ref="I81:J81"/>
    <mergeCell ref="K81:L81"/>
    <mergeCell ref="M81:N81"/>
    <mergeCell ref="O81:P81"/>
    <mergeCell ref="M79:N79"/>
    <mergeCell ref="C78:G78"/>
    <mergeCell ref="I78:J78"/>
    <mergeCell ref="K78:L78"/>
    <mergeCell ref="M78:N78"/>
    <mergeCell ref="O78:P78"/>
    <mergeCell ref="C79:G79"/>
    <mergeCell ref="I79:J79"/>
    <mergeCell ref="K79:L79"/>
    <mergeCell ref="O79:P79"/>
    <mergeCell ref="C76:G76"/>
    <mergeCell ref="I76:J76"/>
    <mergeCell ref="K76:L76"/>
    <mergeCell ref="M76:N76"/>
    <mergeCell ref="O76:P76"/>
    <mergeCell ref="C77:G77"/>
    <mergeCell ref="I77:J77"/>
    <mergeCell ref="K77:L77"/>
    <mergeCell ref="M77:N77"/>
    <mergeCell ref="O77:P77"/>
    <mergeCell ref="C74:G74"/>
    <mergeCell ref="I74:J74"/>
    <mergeCell ref="K74:L74"/>
    <mergeCell ref="M74:N74"/>
    <mergeCell ref="O74:P74"/>
    <mergeCell ref="C75:G75"/>
    <mergeCell ref="I75:J75"/>
    <mergeCell ref="K75:L75"/>
    <mergeCell ref="M75:N75"/>
    <mergeCell ref="O75:P75"/>
    <mergeCell ref="C72:G72"/>
    <mergeCell ref="I72:J72"/>
    <mergeCell ref="K72:L72"/>
    <mergeCell ref="M72:N72"/>
    <mergeCell ref="O72:P72"/>
    <mergeCell ref="C73:G73"/>
    <mergeCell ref="I73:J73"/>
    <mergeCell ref="K73:L73"/>
    <mergeCell ref="M73:N73"/>
    <mergeCell ref="O73:P73"/>
    <mergeCell ref="C70:P70"/>
    <mergeCell ref="C71:G71"/>
    <mergeCell ref="I71:J71"/>
    <mergeCell ref="K71:L71"/>
    <mergeCell ref="M71:N71"/>
    <mergeCell ref="O71:P71"/>
    <mergeCell ref="C66:G66"/>
    <mergeCell ref="I66:J66"/>
    <mergeCell ref="K66:L66"/>
    <mergeCell ref="M66:N66"/>
    <mergeCell ref="O66:P66"/>
    <mergeCell ref="C67:G67"/>
    <mergeCell ref="I67:J67"/>
    <mergeCell ref="K67:L67"/>
    <mergeCell ref="M67:N67"/>
    <mergeCell ref="O67:P67"/>
    <mergeCell ref="C62:G62"/>
    <mergeCell ref="I62:J62"/>
    <mergeCell ref="K62:L62"/>
    <mergeCell ref="M62:N62"/>
    <mergeCell ref="O62:P62"/>
    <mergeCell ref="C65:G65"/>
    <mergeCell ref="I65:J65"/>
    <mergeCell ref="K65:L65"/>
    <mergeCell ref="M65:N65"/>
    <mergeCell ref="O65:P65"/>
    <mergeCell ref="C58:G58"/>
    <mergeCell ref="I58:J58"/>
    <mergeCell ref="K58:L58"/>
    <mergeCell ref="M58:N58"/>
    <mergeCell ref="O58:P58"/>
    <mergeCell ref="C55:G55"/>
    <mergeCell ref="I55:J55"/>
    <mergeCell ref="K55:L55"/>
    <mergeCell ref="M55:N55"/>
    <mergeCell ref="O55:P55"/>
    <mergeCell ref="C53:G53"/>
    <mergeCell ref="I53:J53"/>
    <mergeCell ref="K53:L53"/>
    <mergeCell ref="M53:N53"/>
    <mergeCell ref="O53:P53"/>
    <mergeCell ref="C54:G54"/>
    <mergeCell ref="I54:J54"/>
    <mergeCell ref="K54:L54"/>
    <mergeCell ref="M54:N54"/>
    <mergeCell ref="O54:P54"/>
    <mergeCell ref="C49:G49"/>
    <mergeCell ref="I49:J49"/>
    <mergeCell ref="K49:L49"/>
    <mergeCell ref="M49:N49"/>
    <mergeCell ref="O49:P49"/>
    <mergeCell ref="C50:G50"/>
    <mergeCell ref="I50:J50"/>
    <mergeCell ref="K50:L50"/>
    <mergeCell ref="M50:N50"/>
    <mergeCell ref="O50:P50"/>
    <mergeCell ref="C47:G47"/>
    <mergeCell ref="I47:J47"/>
    <mergeCell ref="K47:L47"/>
    <mergeCell ref="M47:N47"/>
    <mergeCell ref="O47:P47"/>
    <mergeCell ref="C48:G48"/>
    <mergeCell ref="I48:J48"/>
    <mergeCell ref="K48:L48"/>
    <mergeCell ref="M48:N48"/>
    <mergeCell ref="O48:P48"/>
    <mergeCell ref="C45:G45"/>
    <mergeCell ref="I45:J45"/>
    <mergeCell ref="K45:L45"/>
    <mergeCell ref="M45:N45"/>
    <mergeCell ref="O45:P45"/>
    <mergeCell ref="C46:G46"/>
    <mergeCell ref="I46:J46"/>
    <mergeCell ref="K46:L46"/>
    <mergeCell ref="M46:N46"/>
    <mergeCell ref="O46:P46"/>
    <mergeCell ref="C42:G42"/>
    <mergeCell ref="I42:J42"/>
    <mergeCell ref="K42:L42"/>
    <mergeCell ref="M42:N42"/>
    <mergeCell ref="O42:P42"/>
    <mergeCell ref="C44:P44"/>
    <mergeCell ref="A36:F36"/>
    <mergeCell ref="A37:F37"/>
    <mergeCell ref="B39:P39"/>
    <mergeCell ref="C41:G41"/>
    <mergeCell ref="I41:J41"/>
    <mergeCell ref="K41:L41"/>
    <mergeCell ref="M41:N41"/>
    <mergeCell ref="O41:P41"/>
    <mergeCell ref="C43:P43"/>
    <mergeCell ref="B32:P32"/>
    <mergeCell ref="A34:F35"/>
    <mergeCell ref="G34:I34"/>
    <mergeCell ref="J34:L34"/>
    <mergeCell ref="M34:O34"/>
    <mergeCell ref="P34:P35"/>
    <mergeCell ref="Q25:S25"/>
    <mergeCell ref="T25:V25"/>
    <mergeCell ref="D27:F27"/>
    <mergeCell ref="D28:F28"/>
    <mergeCell ref="D29:F29"/>
    <mergeCell ref="D30:F30"/>
    <mergeCell ref="M21:N21"/>
    <mergeCell ref="B23:P23"/>
    <mergeCell ref="A25:A26"/>
    <mergeCell ref="B25:B26"/>
    <mergeCell ref="C25:C26"/>
    <mergeCell ref="D25:F26"/>
    <mergeCell ref="G25:I25"/>
    <mergeCell ref="J25:L25"/>
    <mergeCell ref="M25:O25"/>
    <mergeCell ref="P25:P26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C13:P13"/>
    <mergeCell ref="D14:P14"/>
    <mergeCell ref="D15:P15"/>
    <mergeCell ref="B16:P16"/>
    <mergeCell ref="A18:F18"/>
    <mergeCell ref="G18:L18"/>
    <mergeCell ref="M18:P18"/>
    <mergeCell ref="A6:P6"/>
    <mergeCell ref="A7:P7"/>
    <mergeCell ref="A8:P8"/>
    <mergeCell ref="C10:P10"/>
    <mergeCell ref="C11:P11"/>
    <mergeCell ref="C12:P12"/>
    <mergeCell ref="M59:N59"/>
    <mergeCell ref="M60:N60"/>
    <mergeCell ref="M61:N61"/>
    <mergeCell ref="O59:P59"/>
    <mergeCell ref="O60:P60"/>
    <mergeCell ref="O61:P61"/>
    <mergeCell ref="C59:G59"/>
    <mergeCell ref="C60:G60"/>
    <mergeCell ref="C61:G61"/>
    <mergeCell ref="I59:J59"/>
    <mergeCell ref="I60:J60"/>
    <mergeCell ref="I61:J61"/>
    <mergeCell ref="K59:L59"/>
    <mergeCell ref="K60:L60"/>
    <mergeCell ref="K61:L61"/>
  </mergeCells>
  <pageMargins left="0.19685039370078741" right="0.19685039370078741" top="0.39370078740157483" bottom="0.19685039370078741" header="0.11811023622047245" footer="0.11811023622047245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23"/>
  <sheetViews>
    <sheetView view="pageBreakPreview" topLeftCell="A42" zoomScale="70" zoomScaleSheetLayoutView="70" workbookViewId="0">
      <selection activeCell="I49" sqref="I49:J49"/>
    </sheetView>
  </sheetViews>
  <sheetFormatPr defaultRowHeight="15" x14ac:dyDescent="0.25"/>
  <cols>
    <col min="1" max="1" width="5" style="17" customWidth="1"/>
    <col min="2" max="2" width="10.28515625" style="17" customWidth="1"/>
    <col min="3" max="3" width="9.140625" style="17" customWidth="1"/>
    <col min="4" max="4" width="7.140625" style="17" customWidth="1"/>
    <col min="5" max="5" width="7.85546875" style="17" customWidth="1"/>
    <col min="6" max="6" width="8.85546875" style="17" customWidth="1"/>
    <col min="7" max="8" width="14.42578125" style="17" customWidth="1"/>
    <col min="9" max="9" width="26.140625" style="17" customWidth="1"/>
    <col min="10" max="10" width="23.85546875" style="17" customWidth="1"/>
    <col min="11" max="11" width="13.7109375" style="17" customWidth="1"/>
    <col min="12" max="12" width="14" style="17" customWidth="1"/>
    <col min="13" max="13" width="14.5703125" style="17" customWidth="1"/>
    <col min="14" max="14" width="13.28515625" style="17" customWidth="1"/>
    <col min="15" max="15" width="18" style="17" customWidth="1"/>
    <col min="16" max="16" width="38" style="17" customWidth="1"/>
    <col min="17" max="16384" width="9.140625" style="17"/>
  </cols>
  <sheetData>
    <row r="1" spans="1:16" ht="14.25" customHeight="1" x14ac:dyDescent="0.25">
      <c r="P1" s="5" t="s">
        <v>0</v>
      </c>
    </row>
    <row r="2" spans="1:16" ht="13.5" customHeight="1" x14ac:dyDescent="0.25">
      <c r="P2" s="5" t="s">
        <v>1</v>
      </c>
    </row>
    <row r="3" spans="1:16" ht="12.75" customHeight="1" x14ac:dyDescent="0.25">
      <c r="P3" s="5" t="s">
        <v>2</v>
      </c>
    </row>
    <row r="6" spans="1:16" ht="30" customHeight="1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25.5" customHeight="1" x14ac:dyDescent="0.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5.75" customHeight="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1.25" customHeight="1" x14ac:dyDescent="0.25"/>
    <row r="10" spans="1:16" ht="21" customHeight="1" x14ac:dyDescent="0.25">
      <c r="A10" s="19" t="s">
        <v>6</v>
      </c>
      <c r="B10" s="20">
        <v>1000000</v>
      </c>
      <c r="C10" s="21" t="s">
        <v>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2.75" customHeight="1" x14ac:dyDescent="0.25">
      <c r="B11" s="1" t="s">
        <v>7</v>
      </c>
      <c r="C11" s="13" t="s">
        <v>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22.5" customHeight="1" x14ac:dyDescent="0.25">
      <c r="A12" s="19" t="s">
        <v>9</v>
      </c>
      <c r="B12" s="20">
        <v>1010000</v>
      </c>
      <c r="C12" s="21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0.5" customHeight="1" x14ac:dyDescent="0.25">
      <c r="B13" s="1" t="s">
        <v>7</v>
      </c>
      <c r="C13" s="13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26.25" customHeight="1" x14ac:dyDescent="0.25">
      <c r="A14" s="19" t="s">
        <v>11</v>
      </c>
      <c r="B14" s="20">
        <v>1011020</v>
      </c>
      <c r="C14" s="22" t="s">
        <v>78</v>
      </c>
      <c r="D14" s="21" t="s">
        <v>79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1.25" customHeight="1" x14ac:dyDescent="0.25">
      <c r="B15" s="1" t="s">
        <v>7</v>
      </c>
      <c r="C15" s="1" t="s">
        <v>12</v>
      </c>
      <c r="D15" s="14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8.5" customHeight="1" x14ac:dyDescent="0.25">
      <c r="A16" s="19" t="s">
        <v>14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22" ht="10.5" customHeight="1" x14ac:dyDescent="0.25">
      <c r="P17" s="2" t="s">
        <v>16</v>
      </c>
    </row>
    <row r="18" spans="1:22" ht="22.5" customHeight="1" x14ac:dyDescent="0.25">
      <c r="A18" s="25" t="s">
        <v>17</v>
      </c>
      <c r="B18" s="25"/>
      <c r="C18" s="25"/>
      <c r="D18" s="25"/>
      <c r="E18" s="25"/>
      <c r="F18" s="25"/>
      <c r="G18" s="25" t="s">
        <v>18</v>
      </c>
      <c r="H18" s="25"/>
      <c r="I18" s="25"/>
      <c r="J18" s="25"/>
      <c r="K18" s="25"/>
      <c r="L18" s="25"/>
      <c r="M18" s="25" t="s">
        <v>22</v>
      </c>
      <c r="N18" s="25"/>
      <c r="O18" s="25"/>
      <c r="P18" s="25"/>
    </row>
    <row r="19" spans="1:22" ht="32.25" customHeight="1" x14ac:dyDescent="0.25">
      <c r="A19" s="26" t="s">
        <v>19</v>
      </c>
      <c r="B19" s="26"/>
      <c r="C19" s="26" t="s">
        <v>20</v>
      </c>
      <c r="D19" s="26"/>
      <c r="E19" s="26" t="s">
        <v>21</v>
      </c>
      <c r="F19" s="26"/>
      <c r="G19" s="26" t="s">
        <v>19</v>
      </c>
      <c r="H19" s="26"/>
      <c r="I19" s="26" t="s">
        <v>20</v>
      </c>
      <c r="J19" s="26"/>
      <c r="K19" s="26" t="s">
        <v>21</v>
      </c>
      <c r="L19" s="26"/>
      <c r="M19" s="26" t="s">
        <v>19</v>
      </c>
      <c r="N19" s="26"/>
      <c r="O19" s="27" t="s">
        <v>20</v>
      </c>
      <c r="P19" s="27" t="s">
        <v>21</v>
      </c>
    </row>
    <row r="20" spans="1:22" s="3" customFormat="1" ht="9" customHeight="1" x14ac:dyDescent="0.2">
      <c r="A20" s="12">
        <v>1</v>
      </c>
      <c r="B20" s="12"/>
      <c r="C20" s="12">
        <v>2</v>
      </c>
      <c r="D20" s="12"/>
      <c r="E20" s="12">
        <v>3</v>
      </c>
      <c r="F20" s="12"/>
      <c r="G20" s="12">
        <v>4</v>
      </c>
      <c r="H20" s="12"/>
      <c r="I20" s="12">
        <v>5</v>
      </c>
      <c r="J20" s="12"/>
      <c r="K20" s="12">
        <v>6</v>
      </c>
      <c r="L20" s="12"/>
      <c r="M20" s="12">
        <v>7</v>
      </c>
      <c r="N20" s="12"/>
      <c r="O20" s="10">
        <v>8</v>
      </c>
      <c r="P20" s="10">
        <v>9</v>
      </c>
    </row>
    <row r="21" spans="1:22" ht="26.25" customHeight="1" x14ac:dyDescent="0.25">
      <c r="A21" s="70">
        <f>(893700543)/1000</f>
        <v>893700.54299999995</v>
      </c>
      <c r="B21" s="70"/>
      <c r="C21" s="70">
        <f>(47114875)/1000</f>
        <v>47114.875</v>
      </c>
      <c r="D21" s="70"/>
      <c r="E21" s="70">
        <f>A21+C21</f>
        <v>940815.41799999995</v>
      </c>
      <c r="F21" s="70"/>
      <c r="G21" s="70">
        <f>884155482.24/1000</f>
        <v>884155.48224000004</v>
      </c>
      <c r="H21" s="70"/>
      <c r="I21" s="70">
        <f>53040443.98/1000</f>
        <v>53040.443979999996</v>
      </c>
      <c r="J21" s="70"/>
      <c r="K21" s="70">
        <f>G21+I21</f>
        <v>937195.92622000002</v>
      </c>
      <c r="L21" s="70"/>
      <c r="M21" s="70">
        <f>G21-A21</f>
        <v>-9545.0607599999057</v>
      </c>
      <c r="N21" s="70"/>
      <c r="O21" s="71">
        <f>I21-C21</f>
        <v>5925.5689799999964</v>
      </c>
      <c r="P21" s="72">
        <f>M21+O21</f>
        <v>-3619.4917799999093</v>
      </c>
    </row>
    <row r="22" spans="1:22" ht="18" customHeight="1" x14ac:dyDescent="0.25"/>
    <row r="23" spans="1:22" x14ac:dyDescent="0.25">
      <c r="A23" s="19" t="s">
        <v>23</v>
      </c>
      <c r="B23" s="23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22" ht="11.25" customHeight="1" x14ac:dyDescent="0.25">
      <c r="P24" s="2" t="s">
        <v>16</v>
      </c>
    </row>
    <row r="25" spans="1:22" ht="37.5" customHeight="1" x14ac:dyDescent="0.25">
      <c r="A25" s="25" t="s">
        <v>25</v>
      </c>
      <c r="B25" s="25" t="s">
        <v>26</v>
      </c>
      <c r="C25" s="25" t="s">
        <v>27</v>
      </c>
      <c r="D25" s="25" t="s">
        <v>298</v>
      </c>
      <c r="E25" s="25"/>
      <c r="F25" s="25"/>
      <c r="G25" s="25" t="s">
        <v>28</v>
      </c>
      <c r="H25" s="25"/>
      <c r="I25" s="25"/>
      <c r="J25" s="25" t="s">
        <v>29</v>
      </c>
      <c r="K25" s="25"/>
      <c r="L25" s="25"/>
      <c r="M25" s="25" t="s">
        <v>22</v>
      </c>
      <c r="N25" s="25"/>
      <c r="O25" s="25"/>
      <c r="P25" s="32" t="s">
        <v>30</v>
      </c>
      <c r="Q25" s="33"/>
      <c r="R25" s="33"/>
      <c r="S25" s="33"/>
      <c r="T25" s="33"/>
      <c r="U25" s="33"/>
      <c r="V25" s="33"/>
    </row>
    <row r="26" spans="1:22" ht="36" customHeight="1" x14ac:dyDescent="0.25">
      <c r="A26" s="25"/>
      <c r="B26" s="25"/>
      <c r="C26" s="25"/>
      <c r="D26" s="25"/>
      <c r="E26" s="25"/>
      <c r="F26" s="25"/>
      <c r="G26" s="34" t="s">
        <v>19</v>
      </c>
      <c r="H26" s="34" t="s">
        <v>20</v>
      </c>
      <c r="I26" s="34" t="s">
        <v>21</v>
      </c>
      <c r="J26" s="34" t="s">
        <v>19</v>
      </c>
      <c r="K26" s="34" t="s">
        <v>20</v>
      </c>
      <c r="L26" s="34" t="s">
        <v>21</v>
      </c>
      <c r="M26" s="34" t="s">
        <v>19</v>
      </c>
      <c r="N26" s="34" t="s">
        <v>20</v>
      </c>
      <c r="O26" s="34" t="s">
        <v>21</v>
      </c>
      <c r="P26" s="32"/>
    </row>
    <row r="27" spans="1:22" s="4" customFormat="1" ht="10.5" x14ac:dyDescent="0.25">
      <c r="A27" s="10">
        <v>1</v>
      </c>
      <c r="B27" s="10">
        <v>2</v>
      </c>
      <c r="C27" s="10">
        <v>3</v>
      </c>
      <c r="D27" s="12">
        <v>4</v>
      </c>
      <c r="E27" s="12"/>
      <c r="F27" s="12"/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1">
        <v>14</v>
      </c>
    </row>
    <row r="28" spans="1:22" s="73" customFormat="1" ht="177" customHeight="1" x14ac:dyDescent="0.25">
      <c r="A28" s="37"/>
      <c r="B28" s="37">
        <v>1011020</v>
      </c>
      <c r="C28" s="43" t="s">
        <v>78</v>
      </c>
      <c r="D28" s="38" t="s">
        <v>79</v>
      </c>
      <c r="E28" s="39"/>
      <c r="F28" s="40"/>
      <c r="G28" s="41">
        <f>G29+G30+G31</f>
        <v>893700.54300000006</v>
      </c>
      <c r="H28" s="41">
        <f>H29+H30+H31</f>
        <v>47114.874990000004</v>
      </c>
      <c r="I28" s="41">
        <f>G28+H28</f>
        <v>940815.4179900001</v>
      </c>
      <c r="J28" s="41">
        <f>J29+J30+J31</f>
        <v>884155.48224000004</v>
      </c>
      <c r="K28" s="41">
        <f>K29+K30+K31</f>
        <v>53040.443230000004</v>
      </c>
      <c r="L28" s="41">
        <f>J28+K28</f>
        <v>937195.92547000002</v>
      </c>
      <c r="M28" s="41">
        <f>J28-G28</f>
        <v>-9545.0607600000221</v>
      </c>
      <c r="N28" s="41">
        <f>K28-H28+0.001</f>
        <v>5925.5692400000007</v>
      </c>
      <c r="O28" s="41">
        <f>L28-I28+0.001</f>
        <v>-3619.4915200000869</v>
      </c>
      <c r="P28" s="42"/>
    </row>
    <row r="29" spans="1:22" ht="107.25" customHeight="1" x14ac:dyDescent="0.25">
      <c r="A29" s="29">
        <v>1</v>
      </c>
      <c r="B29" s="29">
        <v>1011020</v>
      </c>
      <c r="C29" s="74" t="s">
        <v>78</v>
      </c>
      <c r="D29" s="47" t="s">
        <v>312</v>
      </c>
      <c r="E29" s="15"/>
      <c r="F29" s="15"/>
      <c r="G29" s="9">
        <f>892740096/1000</f>
        <v>892740.09600000002</v>
      </c>
      <c r="H29" s="9">
        <f>32617116/1000</f>
        <v>32617.116000000002</v>
      </c>
      <c r="I29" s="9">
        <f>G29+H29</f>
        <v>925357.21200000006</v>
      </c>
      <c r="J29" s="9">
        <f>G21-960.447</f>
        <v>883195.03524</v>
      </c>
      <c r="K29" s="9">
        <f>(53040444-11906088)/1000</f>
        <v>41134.356</v>
      </c>
      <c r="L29" s="9">
        <f>J29+K29</f>
        <v>924329.39124000003</v>
      </c>
      <c r="M29" s="9">
        <f>J29-G29</f>
        <v>-9545.0607600000221</v>
      </c>
      <c r="N29" s="9">
        <f>K29-H29</f>
        <v>8517.239999999998</v>
      </c>
      <c r="O29" s="9">
        <f>M29+N29</f>
        <v>-1027.8207600000242</v>
      </c>
      <c r="P29" s="44" t="s">
        <v>313</v>
      </c>
    </row>
    <row r="30" spans="1:22" ht="69.75" customHeight="1" x14ac:dyDescent="0.25">
      <c r="A30" s="29">
        <v>2</v>
      </c>
      <c r="B30" s="29">
        <v>1011020</v>
      </c>
      <c r="C30" s="74" t="s">
        <v>78</v>
      </c>
      <c r="D30" s="47" t="s">
        <v>314</v>
      </c>
      <c r="E30" s="15"/>
      <c r="F30" s="15"/>
      <c r="G30" s="9">
        <v>0</v>
      </c>
      <c r="H30" s="9">
        <f>14497758.99/1000</f>
        <v>14497.75899</v>
      </c>
      <c r="I30" s="9">
        <f>G30+H30</f>
        <v>14497.75899</v>
      </c>
      <c r="J30" s="9">
        <v>0</v>
      </c>
      <c r="K30" s="9">
        <f>11906087.23/1000</f>
        <v>11906.087230000001</v>
      </c>
      <c r="L30" s="9">
        <f>J30+K30</f>
        <v>11906.087230000001</v>
      </c>
      <c r="M30" s="9">
        <f>J30-G30</f>
        <v>0</v>
      </c>
      <c r="N30" s="9">
        <f>K30-H30</f>
        <v>-2591.6717599999993</v>
      </c>
      <c r="O30" s="9">
        <f>M30+N30</f>
        <v>-2591.6717599999993</v>
      </c>
      <c r="P30" s="45" t="s">
        <v>315</v>
      </c>
    </row>
    <row r="31" spans="1:22" ht="55.5" customHeight="1" x14ac:dyDescent="0.25">
      <c r="A31" s="29">
        <v>3</v>
      </c>
      <c r="B31" s="29">
        <v>1011020</v>
      </c>
      <c r="C31" s="74" t="s">
        <v>78</v>
      </c>
      <c r="D31" s="38" t="s">
        <v>316</v>
      </c>
      <c r="E31" s="39"/>
      <c r="F31" s="40"/>
      <c r="G31" s="9">
        <f>960447/1000</f>
        <v>960.447</v>
      </c>
      <c r="H31" s="9">
        <v>0</v>
      </c>
      <c r="I31" s="9">
        <f>G31+H31</f>
        <v>960.447</v>
      </c>
      <c r="J31" s="9">
        <f>960447/1000</f>
        <v>960.447</v>
      </c>
      <c r="K31" s="9">
        <v>0</v>
      </c>
      <c r="L31" s="9">
        <f>J31+K31</f>
        <v>960.447</v>
      </c>
      <c r="M31" s="9">
        <f>J31-G31</f>
        <v>0</v>
      </c>
      <c r="N31" s="9">
        <f>K31-H31</f>
        <v>0</v>
      </c>
      <c r="O31" s="9">
        <f>M31+N31</f>
        <v>0</v>
      </c>
      <c r="P31" s="75" t="s">
        <v>73</v>
      </c>
    </row>
    <row r="32" spans="1:22" ht="20.25" customHeight="1" x14ac:dyDescent="0.25">
      <c r="D32" s="46"/>
      <c r="E32" s="46"/>
      <c r="F32" s="46"/>
    </row>
    <row r="33" spans="1:16" x14ac:dyDescent="0.25">
      <c r="A33" s="17" t="s">
        <v>31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11.25" customHeight="1" x14ac:dyDescent="0.25">
      <c r="P34" s="2" t="s">
        <v>16</v>
      </c>
    </row>
    <row r="35" spans="1:16" ht="30" customHeight="1" x14ac:dyDescent="0.25">
      <c r="A35" s="25" t="s">
        <v>33</v>
      </c>
      <c r="B35" s="25"/>
      <c r="C35" s="25"/>
      <c r="D35" s="25"/>
      <c r="E35" s="25"/>
      <c r="F35" s="25"/>
      <c r="G35" s="25" t="s">
        <v>28</v>
      </c>
      <c r="H35" s="25"/>
      <c r="I35" s="25"/>
      <c r="J35" s="25" t="s">
        <v>29</v>
      </c>
      <c r="K35" s="25"/>
      <c r="L35" s="25"/>
      <c r="M35" s="25" t="s">
        <v>22</v>
      </c>
      <c r="N35" s="25"/>
      <c r="O35" s="25"/>
      <c r="P35" s="25" t="s">
        <v>30</v>
      </c>
    </row>
    <row r="36" spans="1:16" ht="33.75" customHeight="1" x14ac:dyDescent="0.25">
      <c r="A36" s="25"/>
      <c r="B36" s="25"/>
      <c r="C36" s="25"/>
      <c r="D36" s="25"/>
      <c r="E36" s="25"/>
      <c r="F36" s="25"/>
      <c r="G36" s="34" t="s">
        <v>19</v>
      </c>
      <c r="H36" s="34" t="s">
        <v>20</v>
      </c>
      <c r="I36" s="34" t="s">
        <v>21</v>
      </c>
      <c r="J36" s="34" t="s">
        <v>19</v>
      </c>
      <c r="K36" s="34" t="s">
        <v>20</v>
      </c>
      <c r="L36" s="34" t="s">
        <v>21</v>
      </c>
      <c r="M36" s="34" t="s">
        <v>19</v>
      </c>
      <c r="N36" s="34" t="s">
        <v>20</v>
      </c>
      <c r="O36" s="34" t="s">
        <v>21</v>
      </c>
      <c r="P36" s="25"/>
    </row>
    <row r="37" spans="1:16" s="4" customFormat="1" ht="10.5" x14ac:dyDescent="0.25">
      <c r="A37" s="12">
        <v>1</v>
      </c>
      <c r="B37" s="12"/>
      <c r="C37" s="12"/>
      <c r="D37" s="12"/>
      <c r="E37" s="12"/>
      <c r="F37" s="12"/>
      <c r="G37" s="10">
        <v>2</v>
      </c>
      <c r="H37" s="10">
        <v>3</v>
      </c>
      <c r="I37" s="10">
        <v>4</v>
      </c>
      <c r="J37" s="10">
        <v>5</v>
      </c>
      <c r="K37" s="10">
        <v>6</v>
      </c>
      <c r="L37" s="10">
        <v>7</v>
      </c>
      <c r="M37" s="10">
        <v>8</v>
      </c>
      <c r="N37" s="10">
        <v>9</v>
      </c>
      <c r="O37" s="10">
        <v>10</v>
      </c>
      <c r="P37" s="10">
        <v>11</v>
      </c>
    </row>
    <row r="38" spans="1:16" ht="115.5" customHeight="1" x14ac:dyDescent="0.25">
      <c r="A38" s="84" t="s">
        <v>54</v>
      </c>
      <c r="B38" s="84"/>
      <c r="C38" s="84"/>
      <c r="D38" s="84"/>
      <c r="E38" s="84"/>
      <c r="F38" s="84"/>
      <c r="G38" s="85">
        <f>36044919/1000</f>
        <v>36044.919000000002</v>
      </c>
      <c r="H38" s="85">
        <f>13721388.99/1000</f>
        <v>13721.388989999999</v>
      </c>
      <c r="I38" s="85">
        <f>G38+H38</f>
        <v>49766.307990000001</v>
      </c>
      <c r="J38" s="85">
        <f>35732740.62/1000</f>
        <v>35732.740619999997</v>
      </c>
      <c r="K38" s="85">
        <f>8723411.05/1000</f>
        <v>8723.4110500000006</v>
      </c>
      <c r="L38" s="85">
        <f>J38+K38</f>
        <v>44456.151669999999</v>
      </c>
      <c r="M38" s="85">
        <f>J38-G38</f>
        <v>-312.17838000000484</v>
      </c>
      <c r="N38" s="85">
        <f>K38-H38</f>
        <v>-4997.9779399999989</v>
      </c>
      <c r="O38" s="85">
        <f>M38+N38</f>
        <v>-5310.1563200000037</v>
      </c>
      <c r="P38" s="86" t="s">
        <v>317</v>
      </c>
    </row>
    <row r="39" spans="1:16" ht="27" customHeight="1" x14ac:dyDescent="0.25">
      <c r="A39" s="84" t="s">
        <v>55</v>
      </c>
      <c r="B39" s="84"/>
      <c r="C39" s="84"/>
      <c r="D39" s="84"/>
      <c r="E39" s="84"/>
      <c r="F39" s="84"/>
      <c r="G39" s="85">
        <f>1025992/1000</f>
        <v>1025.992</v>
      </c>
      <c r="H39" s="85">
        <v>0</v>
      </c>
      <c r="I39" s="85">
        <f>G39+H39</f>
        <v>1025.992</v>
      </c>
      <c r="J39" s="85">
        <f>1025992/1000</f>
        <v>1025.992</v>
      </c>
      <c r="K39" s="85">
        <v>0</v>
      </c>
      <c r="L39" s="85">
        <f>J39+K39</f>
        <v>1025.992</v>
      </c>
      <c r="M39" s="85">
        <f>G39-J39</f>
        <v>0</v>
      </c>
      <c r="N39" s="85">
        <f>H39-K39</f>
        <v>0</v>
      </c>
      <c r="O39" s="85">
        <f>M39+N39</f>
        <v>0</v>
      </c>
      <c r="P39" s="87" t="s">
        <v>73</v>
      </c>
    </row>
    <row r="41" spans="1:16" x14ac:dyDescent="0.25">
      <c r="A41" s="17" t="s">
        <v>34</v>
      </c>
      <c r="B41" s="23" t="s">
        <v>35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11.25" customHeight="1" x14ac:dyDescent="0.25">
      <c r="P42" s="2" t="s">
        <v>16</v>
      </c>
    </row>
    <row r="43" spans="1:16" ht="44.25" customHeight="1" x14ac:dyDescent="0.25">
      <c r="A43" s="34" t="s">
        <v>25</v>
      </c>
      <c r="B43" s="34" t="s">
        <v>26</v>
      </c>
      <c r="C43" s="25" t="s">
        <v>36</v>
      </c>
      <c r="D43" s="25"/>
      <c r="E43" s="25"/>
      <c r="F43" s="25"/>
      <c r="G43" s="25"/>
      <c r="H43" s="34" t="s">
        <v>37</v>
      </c>
      <c r="I43" s="25" t="s">
        <v>38</v>
      </c>
      <c r="J43" s="25"/>
      <c r="K43" s="25" t="s">
        <v>28</v>
      </c>
      <c r="L43" s="25"/>
      <c r="M43" s="25" t="s">
        <v>39</v>
      </c>
      <c r="N43" s="25"/>
      <c r="O43" s="25" t="s">
        <v>22</v>
      </c>
      <c r="P43" s="25"/>
    </row>
    <row r="44" spans="1:16" s="4" customFormat="1" ht="8.25" customHeight="1" x14ac:dyDescent="0.25">
      <c r="A44" s="10">
        <v>1</v>
      </c>
      <c r="B44" s="10">
        <v>2</v>
      </c>
      <c r="C44" s="12">
        <v>3</v>
      </c>
      <c r="D44" s="12"/>
      <c r="E44" s="12"/>
      <c r="F44" s="12"/>
      <c r="G44" s="12"/>
      <c r="H44" s="10">
        <v>4</v>
      </c>
      <c r="I44" s="12">
        <v>5</v>
      </c>
      <c r="J44" s="12"/>
      <c r="K44" s="12">
        <v>6</v>
      </c>
      <c r="L44" s="12"/>
      <c r="M44" s="12">
        <v>7</v>
      </c>
      <c r="N44" s="12"/>
      <c r="O44" s="12">
        <v>8</v>
      </c>
      <c r="P44" s="12"/>
    </row>
    <row r="45" spans="1:16" s="36" customFormat="1" ht="30.75" customHeight="1" x14ac:dyDescent="0.25">
      <c r="A45" s="37"/>
      <c r="B45" s="37">
        <v>1011020</v>
      </c>
      <c r="C45" s="38" t="s">
        <v>102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40"/>
    </row>
    <row r="46" spans="1:16" s="36" customFormat="1" ht="21" customHeight="1" x14ac:dyDescent="0.25">
      <c r="A46" s="37">
        <v>1</v>
      </c>
      <c r="B46" s="37"/>
      <c r="C46" s="47" t="s">
        <v>56</v>
      </c>
      <c r="D46" s="47"/>
      <c r="E46" s="47"/>
      <c r="F46" s="47"/>
      <c r="G46" s="47"/>
      <c r="H46" s="29"/>
      <c r="I46" s="28"/>
      <c r="J46" s="28"/>
      <c r="K46" s="28"/>
      <c r="L46" s="28"/>
      <c r="M46" s="28"/>
      <c r="N46" s="28"/>
      <c r="O46" s="28"/>
      <c r="P46" s="28"/>
    </row>
    <row r="47" spans="1:16" s="36" customFormat="1" ht="36" customHeight="1" x14ac:dyDescent="0.25">
      <c r="A47" s="37"/>
      <c r="B47" s="37"/>
      <c r="C47" s="15" t="s">
        <v>83</v>
      </c>
      <c r="D47" s="15"/>
      <c r="E47" s="15"/>
      <c r="F47" s="15"/>
      <c r="G47" s="15"/>
      <c r="H47" s="29" t="s">
        <v>58</v>
      </c>
      <c r="I47" s="28" t="s">
        <v>310</v>
      </c>
      <c r="J47" s="28"/>
      <c r="K47" s="30">
        <f>I29</f>
        <v>925357.21200000006</v>
      </c>
      <c r="L47" s="28"/>
      <c r="M47" s="30">
        <f>L29</f>
        <v>924329.39124000003</v>
      </c>
      <c r="N47" s="28"/>
      <c r="O47" s="30">
        <f t="shared" ref="O47:O52" si="0">M47-K47</f>
        <v>-1027.8207600000314</v>
      </c>
      <c r="P47" s="28"/>
    </row>
    <row r="48" spans="1:16" s="36" customFormat="1" ht="45" customHeight="1" x14ac:dyDescent="0.25">
      <c r="A48" s="37"/>
      <c r="B48" s="37"/>
      <c r="C48" s="15" t="s">
        <v>103</v>
      </c>
      <c r="D48" s="15"/>
      <c r="E48" s="15"/>
      <c r="F48" s="15"/>
      <c r="G48" s="15"/>
      <c r="H48" s="29" t="s">
        <v>67</v>
      </c>
      <c r="I48" s="28" t="s">
        <v>89</v>
      </c>
      <c r="J48" s="28"/>
      <c r="K48" s="28">
        <v>131</v>
      </c>
      <c r="L48" s="28"/>
      <c r="M48" s="28">
        <v>131</v>
      </c>
      <c r="N48" s="28"/>
      <c r="O48" s="48">
        <f t="shared" si="0"/>
        <v>0</v>
      </c>
      <c r="P48" s="48"/>
    </row>
    <row r="49" spans="1:16" s="36" customFormat="1" ht="57" customHeight="1" x14ac:dyDescent="0.25">
      <c r="A49" s="37"/>
      <c r="B49" s="37"/>
      <c r="C49" s="15" t="s">
        <v>104</v>
      </c>
      <c r="D49" s="15"/>
      <c r="E49" s="15"/>
      <c r="F49" s="15"/>
      <c r="G49" s="15"/>
      <c r="H49" s="29" t="s">
        <v>67</v>
      </c>
      <c r="I49" s="28" t="s">
        <v>242</v>
      </c>
      <c r="J49" s="28"/>
      <c r="K49" s="28">
        <v>2357</v>
      </c>
      <c r="L49" s="28"/>
      <c r="M49" s="55">
        <f>2344+34+13+5+9</f>
        <v>2405</v>
      </c>
      <c r="N49" s="55"/>
      <c r="O49" s="48">
        <f t="shared" si="0"/>
        <v>48</v>
      </c>
      <c r="P49" s="48"/>
    </row>
    <row r="50" spans="1:16" s="36" customFormat="1" ht="59.25" customHeight="1" x14ac:dyDescent="0.25">
      <c r="A50" s="37"/>
      <c r="B50" s="37"/>
      <c r="C50" s="15" t="s">
        <v>86</v>
      </c>
      <c r="D50" s="15"/>
      <c r="E50" s="15"/>
      <c r="F50" s="15"/>
      <c r="G50" s="15"/>
      <c r="H50" s="29" t="s">
        <v>67</v>
      </c>
      <c r="I50" s="28" t="s">
        <v>281</v>
      </c>
      <c r="J50" s="28"/>
      <c r="K50" s="28">
        <v>6104.63</v>
      </c>
      <c r="L50" s="28"/>
      <c r="M50" s="50">
        <v>6123.75</v>
      </c>
      <c r="N50" s="50"/>
      <c r="O50" s="51">
        <f t="shared" si="0"/>
        <v>19.119999999999891</v>
      </c>
      <c r="P50" s="51"/>
    </row>
    <row r="51" spans="1:16" s="36" customFormat="1" ht="58.5" customHeight="1" x14ac:dyDescent="0.25">
      <c r="A51" s="37"/>
      <c r="B51" s="37"/>
      <c r="C51" s="15" t="s">
        <v>105</v>
      </c>
      <c r="D51" s="15"/>
      <c r="E51" s="15"/>
      <c r="F51" s="15"/>
      <c r="G51" s="15"/>
      <c r="H51" s="29" t="s">
        <v>67</v>
      </c>
      <c r="I51" s="28" t="s">
        <v>281</v>
      </c>
      <c r="J51" s="28"/>
      <c r="K51" s="28">
        <v>3276.58</v>
      </c>
      <c r="L51" s="28"/>
      <c r="M51" s="50">
        <f>((2*3270.75)+669.7+2607.26)/3</f>
        <v>3272.8199999999997</v>
      </c>
      <c r="N51" s="50"/>
      <c r="O51" s="51">
        <f t="shared" si="0"/>
        <v>-3.7600000000002183</v>
      </c>
      <c r="P51" s="51"/>
    </row>
    <row r="52" spans="1:16" s="36" customFormat="1" ht="60" customHeight="1" x14ac:dyDescent="0.25">
      <c r="A52" s="37"/>
      <c r="B52" s="37"/>
      <c r="C52" s="15" t="s">
        <v>88</v>
      </c>
      <c r="D52" s="15"/>
      <c r="E52" s="15"/>
      <c r="F52" s="15"/>
      <c r="G52" s="15"/>
      <c r="H52" s="29" t="s">
        <v>67</v>
      </c>
      <c r="I52" s="28" t="s">
        <v>281</v>
      </c>
      <c r="J52" s="28"/>
      <c r="K52" s="28">
        <f>K50+K51</f>
        <v>9381.2099999999991</v>
      </c>
      <c r="L52" s="28"/>
      <c r="M52" s="50">
        <f>M50+M51</f>
        <v>9396.57</v>
      </c>
      <c r="N52" s="50"/>
      <c r="O52" s="51">
        <f t="shared" si="0"/>
        <v>15.360000000000582</v>
      </c>
      <c r="P52" s="51"/>
    </row>
    <row r="53" spans="1:16" s="36" customFormat="1" ht="18.75" customHeight="1" x14ac:dyDescent="0.25">
      <c r="A53" s="38" t="s">
        <v>233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40"/>
    </row>
    <row r="54" spans="1:16" s="36" customFormat="1" ht="30.75" customHeight="1" x14ac:dyDescent="0.25">
      <c r="A54" s="52" t="s">
        <v>257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0"/>
    </row>
    <row r="55" spans="1:16" s="36" customFormat="1" ht="17.25" customHeight="1" x14ac:dyDescent="0.25">
      <c r="A55" s="37">
        <v>2</v>
      </c>
      <c r="B55" s="37"/>
      <c r="C55" s="47" t="s">
        <v>64</v>
      </c>
      <c r="D55" s="47"/>
      <c r="E55" s="47"/>
      <c r="F55" s="47"/>
      <c r="G55" s="47"/>
      <c r="H55" s="29"/>
      <c r="I55" s="28"/>
      <c r="J55" s="28"/>
      <c r="K55" s="28"/>
      <c r="L55" s="28"/>
      <c r="M55" s="28"/>
      <c r="N55" s="28"/>
      <c r="O55" s="28"/>
      <c r="P55" s="28"/>
    </row>
    <row r="56" spans="1:16" s="36" customFormat="1" ht="57.75" customHeight="1" x14ac:dyDescent="0.25">
      <c r="A56" s="37"/>
      <c r="B56" s="37"/>
      <c r="C56" s="15" t="s">
        <v>106</v>
      </c>
      <c r="D56" s="15"/>
      <c r="E56" s="15"/>
      <c r="F56" s="15"/>
      <c r="G56" s="15"/>
      <c r="H56" s="29" t="s">
        <v>67</v>
      </c>
      <c r="I56" s="28" t="s">
        <v>242</v>
      </c>
      <c r="J56" s="28"/>
      <c r="K56" s="28">
        <v>62029</v>
      </c>
      <c r="L56" s="28"/>
      <c r="M56" s="49">
        <f>((2*61713)+63098)/3</f>
        <v>62174.666666666664</v>
      </c>
      <c r="N56" s="49"/>
      <c r="O56" s="48">
        <f>M56-K56</f>
        <v>145.66666666666424</v>
      </c>
      <c r="P56" s="48"/>
    </row>
    <row r="57" spans="1:16" s="36" customFormat="1" ht="16.5" customHeight="1" x14ac:dyDescent="0.25">
      <c r="A57" s="37">
        <v>3</v>
      </c>
      <c r="B57" s="37"/>
      <c r="C57" s="47" t="s">
        <v>68</v>
      </c>
      <c r="D57" s="47"/>
      <c r="E57" s="47"/>
      <c r="F57" s="47"/>
      <c r="G57" s="47"/>
      <c r="H57" s="29"/>
      <c r="I57" s="28"/>
      <c r="J57" s="28"/>
      <c r="K57" s="28"/>
      <c r="L57" s="28"/>
      <c r="M57" s="28"/>
      <c r="N57" s="28"/>
      <c r="O57" s="28"/>
      <c r="P57" s="28"/>
    </row>
    <row r="58" spans="1:16" s="36" customFormat="1" ht="18" customHeight="1" x14ac:dyDescent="0.25">
      <c r="A58" s="37"/>
      <c r="B58" s="37"/>
      <c r="C58" s="15" t="s">
        <v>95</v>
      </c>
      <c r="D58" s="15"/>
      <c r="E58" s="15"/>
      <c r="F58" s="15"/>
      <c r="G58" s="15"/>
      <c r="H58" s="29" t="s">
        <v>97</v>
      </c>
      <c r="I58" s="28" t="s">
        <v>256</v>
      </c>
      <c r="J58" s="28"/>
      <c r="K58" s="28">
        <f>K56*150</f>
        <v>9304350</v>
      </c>
      <c r="L58" s="28"/>
      <c r="M58" s="28">
        <v>8891025</v>
      </c>
      <c r="N58" s="28"/>
      <c r="O58" s="48">
        <f>M58-K58</f>
        <v>-413325</v>
      </c>
      <c r="P58" s="48"/>
    </row>
    <row r="59" spans="1:16" s="36" customFormat="1" ht="15.75" customHeight="1" x14ac:dyDescent="0.25">
      <c r="A59" s="37">
        <v>4</v>
      </c>
      <c r="B59" s="37"/>
      <c r="C59" s="47" t="s">
        <v>74</v>
      </c>
      <c r="D59" s="47"/>
      <c r="E59" s="47"/>
      <c r="F59" s="47"/>
      <c r="G59" s="47"/>
      <c r="H59" s="29"/>
      <c r="I59" s="28"/>
      <c r="J59" s="28"/>
      <c r="K59" s="28"/>
      <c r="L59" s="28"/>
      <c r="M59" s="28"/>
      <c r="N59" s="28"/>
      <c r="O59" s="28"/>
      <c r="P59" s="28"/>
    </row>
    <row r="60" spans="1:16" s="36" customFormat="1" ht="18.75" customHeight="1" x14ac:dyDescent="0.25">
      <c r="A60" s="37"/>
      <c r="B60" s="37"/>
      <c r="C60" s="15" t="s">
        <v>107</v>
      </c>
      <c r="D60" s="15"/>
      <c r="E60" s="15"/>
      <c r="F60" s="15"/>
      <c r="G60" s="15"/>
      <c r="H60" s="29" t="s">
        <v>96</v>
      </c>
      <c r="I60" s="28" t="s">
        <v>72</v>
      </c>
      <c r="J60" s="28"/>
      <c r="K60" s="55">
        <f>K47/K56*1000</f>
        <v>14918.138483612505</v>
      </c>
      <c r="L60" s="55"/>
      <c r="M60" s="55">
        <f>M47/M56*1000</f>
        <v>14866.656160708542</v>
      </c>
      <c r="N60" s="55"/>
      <c r="O60" s="48">
        <f>M60-K60</f>
        <v>-51.482322903962995</v>
      </c>
      <c r="P60" s="48"/>
    </row>
    <row r="61" spans="1:16" s="36" customFormat="1" ht="16.5" customHeight="1" x14ac:dyDescent="0.25">
      <c r="A61" s="37"/>
      <c r="B61" s="37"/>
      <c r="C61" s="15" t="s">
        <v>99</v>
      </c>
      <c r="D61" s="15"/>
      <c r="E61" s="15"/>
      <c r="F61" s="15"/>
      <c r="G61" s="15"/>
      <c r="H61" s="29" t="s">
        <v>100</v>
      </c>
      <c r="I61" s="28" t="s">
        <v>72</v>
      </c>
      <c r="J61" s="28"/>
      <c r="K61" s="28">
        <f>K58/K56</f>
        <v>150</v>
      </c>
      <c r="L61" s="28"/>
      <c r="M61" s="55">
        <f>M58/M56</f>
        <v>143.00076665737384</v>
      </c>
      <c r="N61" s="55"/>
      <c r="O61" s="55">
        <f>M61-K61</f>
        <v>-6.9992333426261553</v>
      </c>
      <c r="P61" s="28"/>
    </row>
    <row r="62" spans="1:16" s="36" customFormat="1" ht="18" customHeight="1" x14ac:dyDescent="0.25">
      <c r="A62" s="38" t="s">
        <v>233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40"/>
    </row>
    <row r="63" spans="1:16" s="36" customFormat="1" ht="45" customHeight="1" x14ac:dyDescent="0.25">
      <c r="A63" s="52" t="s">
        <v>284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  <row r="64" spans="1:16" s="36" customFormat="1" ht="16.5" customHeight="1" x14ac:dyDescent="0.25">
      <c r="A64" s="47" t="s">
        <v>240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1:16" s="36" customFormat="1" ht="16.5" customHeight="1" x14ac:dyDescent="0.25">
      <c r="A65" s="52" t="s">
        <v>287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  <row r="66" spans="1:16" ht="29.25" customHeight="1" x14ac:dyDescent="0.25">
      <c r="A66" s="37"/>
      <c r="B66" s="37">
        <v>1011020</v>
      </c>
      <c r="C66" s="38" t="s">
        <v>108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40"/>
    </row>
    <row r="67" spans="1:16" x14ac:dyDescent="0.25">
      <c r="A67" s="37">
        <v>1</v>
      </c>
      <c r="B67" s="37"/>
      <c r="C67" s="56" t="s">
        <v>56</v>
      </c>
      <c r="D67" s="56"/>
      <c r="E67" s="56"/>
      <c r="F67" s="56"/>
      <c r="G67" s="56"/>
      <c r="H67" s="57"/>
      <c r="I67" s="58"/>
      <c r="J67" s="58"/>
      <c r="K67" s="58"/>
      <c r="L67" s="58"/>
      <c r="M67" s="58"/>
      <c r="N67" s="58"/>
      <c r="O67" s="58"/>
      <c r="P67" s="58"/>
    </row>
    <row r="68" spans="1:16" ht="72" customHeight="1" x14ac:dyDescent="0.25">
      <c r="A68" s="37"/>
      <c r="B68" s="37"/>
      <c r="C68" s="15" t="s">
        <v>57</v>
      </c>
      <c r="D68" s="15"/>
      <c r="E68" s="15"/>
      <c r="F68" s="15"/>
      <c r="G68" s="15"/>
      <c r="H68" s="29" t="s">
        <v>58</v>
      </c>
      <c r="I68" s="28" t="s">
        <v>297</v>
      </c>
      <c r="J68" s="28"/>
      <c r="K68" s="30">
        <f>K69+K70+K71+K72</f>
        <v>14497.758990000002</v>
      </c>
      <c r="L68" s="30"/>
      <c r="M68" s="30">
        <f>M69+M70+M71+M72</f>
        <v>11906.08705</v>
      </c>
      <c r="N68" s="30"/>
      <c r="O68" s="30">
        <f>M68-K68</f>
        <v>-2591.671940000002</v>
      </c>
      <c r="P68" s="30"/>
    </row>
    <row r="69" spans="1:16" ht="31.5" customHeight="1" x14ac:dyDescent="0.25">
      <c r="A69" s="37"/>
      <c r="B69" s="37"/>
      <c r="C69" s="15" t="s">
        <v>80</v>
      </c>
      <c r="D69" s="15"/>
      <c r="E69" s="15"/>
      <c r="F69" s="15"/>
      <c r="G69" s="15"/>
      <c r="H69" s="29" t="s">
        <v>58</v>
      </c>
      <c r="I69" s="28" t="s">
        <v>310</v>
      </c>
      <c r="J69" s="28"/>
      <c r="K69" s="30">
        <f>715000/1000</f>
        <v>715</v>
      </c>
      <c r="L69" s="30"/>
      <c r="M69" s="30">
        <f>715000/1000</f>
        <v>715</v>
      </c>
      <c r="N69" s="30"/>
      <c r="O69" s="30">
        <f>M69-K69</f>
        <v>0</v>
      </c>
      <c r="P69" s="30"/>
    </row>
    <row r="70" spans="1:16" ht="27.75" customHeight="1" x14ac:dyDescent="0.25">
      <c r="A70" s="37"/>
      <c r="B70" s="37"/>
      <c r="C70" s="15" t="s">
        <v>59</v>
      </c>
      <c r="D70" s="15"/>
      <c r="E70" s="15"/>
      <c r="F70" s="15"/>
      <c r="G70" s="15"/>
      <c r="H70" s="29" t="s">
        <v>58</v>
      </c>
      <c r="I70" s="28" t="s">
        <v>310</v>
      </c>
      <c r="J70" s="28"/>
      <c r="K70" s="30">
        <f>(4294648-751370.01+776370)/1000</f>
        <v>4319.6479900000004</v>
      </c>
      <c r="L70" s="30"/>
      <c r="M70" s="30">
        <f>(3524312.38+3182676+72000)/1000</f>
        <v>6778.9883799999998</v>
      </c>
      <c r="N70" s="30"/>
      <c r="O70" s="30">
        <f>M70-K70</f>
        <v>2459.3403899999994</v>
      </c>
      <c r="P70" s="30"/>
    </row>
    <row r="71" spans="1:16" ht="30" customHeight="1" x14ac:dyDescent="0.25">
      <c r="A71" s="37"/>
      <c r="B71" s="37"/>
      <c r="C71" s="15" t="s">
        <v>60</v>
      </c>
      <c r="D71" s="15"/>
      <c r="E71" s="15"/>
      <c r="F71" s="15"/>
      <c r="G71" s="15"/>
      <c r="H71" s="29" t="s">
        <v>58</v>
      </c>
      <c r="I71" s="28" t="s">
        <v>310</v>
      </c>
      <c r="J71" s="28"/>
      <c r="K71" s="30">
        <f>72000/1000</f>
        <v>72</v>
      </c>
      <c r="L71" s="30"/>
      <c r="M71" s="30">
        <v>0</v>
      </c>
      <c r="N71" s="30"/>
      <c r="O71" s="30">
        <f>M71-K71</f>
        <v>-72</v>
      </c>
      <c r="P71" s="30"/>
    </row>
    <row r="72" spans="1:16" ht="28.5" customHeight="1" x14ac:dyDescent="0.25">
      <c r="A72" s="37"/>
      <c r="B72" s="37"/>
      <c r="C72" s="52" t="s">
        <v>81</v>
      </c>
      <c r="D72" s="53"/>
      <c r="E72" s="53"/>
      <c r="F72" s="53"/>
      <c r="G72" s="54"/>
      <c r="H72" s="29" t="s">
        <v>58</v>
      </c>
      <c r="I72" s="28" t="s">
        <v>310</v>
      </c>
      <c r="J72" s="28"/>
      <c r="K72" s="76">
        <f>(9416111-25000)/1000</f>
        <v>9391.1110000000008</v>
      </c>
      <c r="L72" s="77"/>
      <c r="M72" s="76">
        <f>4412098.67/1000</f>
        <v>4412.0986700000003</v>
      </c>
      <c r="N72" s="77"/>
      <c r="O72" s="30">
        <f>M72-K72</f>
        <v>-4979.0123300000005</v>
      </c>
      <c r="P72" s="30"/>
    </row>
    <row r="73" spans="1:16" ht="18.75" customHeight="1" x14ac:dyDescent="0.25">
      <c r="A73" s="38" t="s">
        <v>233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40"/>
    </row>
    <row r="74" spans="1:16" ht="60" customHeight="1" x14ac:dyDescent="0.25">
      <c r="A74" s="52" t="s">
        <v>285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40"/>
    </row>
    <row r="75" spans="1:16" x14ac:dyDescent="0.25">
      <c r="A75" s="37">
        <v>2</v>
      </c>
      <c r="B75" s="37"/>
      <c r="C75" s="47" t="s">
        <v>64</v>
      </c>
      <c r="D75" s="47"/>
      <c r="E75" s="47"/>
      <c r="F75" s="47"/>
      <c r="G75" s="47"/>
      <c r="H75" s="29"/>
      <c r="I75" s="28"/>
      <c r="J75" s="28"/>
      <c r="K75" s="30"/>
      <c r="L75" s="30"/>
      <c r="M75" s="30"/>
      <c r="N75" s="30"/>
      <c r="O75" s="30"/>
      <c r="P75" s="30"/>
    </row>
    <row r="76" spans="1:16" ht="42.75" customHeight="1" x14ac:dyDescent="0.25">
      <c r="A76" s="37"/>
      <c r="B76" s="37"/>
      <c r="C76" s="15" t="s">
        <v>160</v>
      </c>
      <c r="D76" s="15"/>
      <c r="E76" s="15"/>
      <c r="F76" s="15"/>
      <c r="G76" s="15"/>
      <c r="H76" s="29" t="s">
        <v>67</v>
      </c>
      <c r="I76" s="28" t="s">
        <v>237</v>
      </c>
      <c r="J76" s="28"/>
      <c r="K76" s="48">
        <v>5</v>
      </c>
      <c r="L76" s="48"/>
      <c r="M76" s="48">
        <v>5</v>
      </c>
      <c r="N76" s="48"/>
      <c r="O76" s="48">
        <f>M76-K76</f>
        <v>0</v>
      </c>
      <c r="P76" s="48"/>
    </row>
    <row r="77" spans="1:16" ht="45.75" customHeight="1" x14ac:dyDescent="0.25">
      <c r="A77" s="37"/>
      <c r="B77" s="37"/>
      <c r="C77" s="15" t="s">
        <v>63</v>
      </c>
      <c r="D77" s="15"/>
      <c r="E77" s="15"/>
      <c r="F77" s="15"/>
      <c r="G77" s="15"/>
      <c r="H77" s="29" t="s">
        <v>67</v>
      </c>
      <c r="I77" s="28" t="s">
        <v>237</v>
      </c>
      <c r="J77" s="28"/>
      <c r="K77" s="48">
        <v>242</v>
      </c>
      <c r="L77" s="48"/>
      <c r="M77" s="48">
        <v>242</v>
      </c>
      <c r="N77" s="48"/>
      <c r="O77" s="48">
        <f>M77-K77</f>
        <v>0</v>
      </c>
      <c r="P77" s="48"/>
    </row>
    <row r="78" spans="1:16" ht="43.5" customHeight="1" x14ac:dyDescent="0.25">
      <c r="A78" s="37"/>
      <c r="B78" s="37"/>
      <c r="C78" s="15" t="s">
        <v>65</v>
      </c>
      <c r="D78" s="15"/>
      <c r="E78" s="15"/>
      <c r="F78" s="15"/>
      <c r="G78" s="15"/>
      <c r="H78" s="29" t="s">
        <v>67</v>
      </c>
      <c r="I78" s="28" t="s">
        <v>237</v>
      </c>
      <c r="J78" s="28"/>
      <c r="K78" s="48">
        <v>9</v>
      </c>
      <c r="L78" s="48"/>
      <c r="M78" s="48">
        <v>0</v>
      </c>
      <c r="N78" s="48"/>
      <c r="O78" s="48">
        <f>M78-K78</f>
        <v>-9</v>
      </c>
      <c r="P78" s="48"/>
    </row>
    <row r="79" spans="1:16" ht="44.25" customHeight="1" x14ac:dyDescent="0.25">
      <c r="A79" s="37"/>
      <c r="B79" s="37"/>
      <c r="C79" s="52" t="s">
        <v>130</v>
      </c>
      <c r="D79" s="53"/>
      <c r="E79" s="53"/>
      <c r="F79" s="53"/>
      <c r="G79" s="54"/>
      <c r="H79" s="29" t="s">
        <v>67</v>
      </c>
      <c r="I79" s="28" t="s">
        <v>238</v>
      </c>
      <c r="J79" s="28"/>
      <c r="K79" s="78">
        <v>13</v>
      </c>
      <c r="L79" s="79"/>
      <c r="M79" s="78">
        <v>7</v>
      </c>
      <c r="N79" s="79"/>
      <c r="O79" s="48">
        <f>M79-K79</f>
        <v>-6</v>
      </c>
      <c r="P79" s="48"/>
    </row>
    <row r="80" spans="1:16" ht="21.75" customHeight="1" x14ac:dyDescent="0.25">
      <c r="A80" s="38" t="s">
        <v>233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40"/>
    </row>
    <row r="81" spans="1:16" ht="45.75" customHeight="1" x14ac:dyDescent="0.25">
      <c r="A81" s="52" t="s">
        <v>286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  <row r="82" spans="1:16" x14ac:dyDescent="0.25">
      <c r="A82" s="37">
        <v>3</v>
      </c>
      <c r="B82" s="37"/>
      <c r="C82" s="47" t="s">
        <v>68</v>
      </c>
      <c r="D82" s="47"/>
      <c r="E82" s="47"/>
      <c r="F82" s="47"/>
      <c r="G82" s="47"/>
      <c r="H82" s="29"/>
      <c r="I82" s="28"/>
      <c r="J82" s="28"/>
      <c r="K82" s="30"/>
      <c r="L82" s="30"/>
      <c r="M82" s="30"/>
      <c r="N82" s="30"/>
      <c r="O82" s="30"/>
      <c r="P82" s="30"/>
    </row>
    <row r="83" spans="1:16" ht="28.5" customHeight="1" x14ac:dyDescent="0.25">
      <c r="A83" s="37"/>
      <c r="B83" s="37"/>
      <c r="C83" s="15" t="s">
        <v>109</v>
      </c>
      <c r="D83" s="15"/>
      <c r="E83" s="15"/>
      <c r="F83" s="15"/>
      <c r="G83" s="15"/>
      <c r="H83" s="29" t="s">
        <v>58</v>
      </c>
      <c r="I83" s="28" t="s">
        <v>72</v>
      </c>
      <c r="J83" s="28"/>
      <c r="K83" s="30">
        <f>K69/K76</f>
        <v>143</v>
      </c>
      <c r="L83" s="30"/>
      <c r="M83" s="30">
        <f>M69/M76</f>
        <v>143</v>
      </c>
      <c r="N83" s="30"/>
      <c r="O83" s="30" t="s">
        <v>73</v>
      </c>
      <c r="P83" s="30"/>
    </row>
    <row r="84" spans="1:16" ht="44.25" customHeight="1" x14ac:dyDescent="0.25">
      <c r="A84" s="37"/>
      <c r="B84" s="37"/>
      <c r="C84" s="15" t="s">
        <v>69</v>
      </c>
      <c r="D84" s="15"/>
      <c r="E84" s="15"/>
      <c r="F84" s="15"/>
      <c r="G84" s="15"/>
      <c r="H84" s="29" t="s">
        <v>58</v>
      </c>
      <c r="I84" s="28" t="s">
        <v>72</v>
      </c>
      <c r="J84" s="28"/>
      <c r="K84" s="30">
        <f>K70/K77-0.104</f>
        <v>17.74578508264463</v>
      </c>
      <c r="L84" s="30"/>
      <c r="M84" s="30">
        <f>M70/M77</f>
        <v>28.012348677685949</v>
      </c>
      <c r="N84" s="30"/>
      <c r="O84" s="30" t="s">
        <v>73</v>
      </c>
      <c r="P84" s="30"/>
    </row>
    <row r="85" spans="1:16" ht="30.75" customHeight="1" x14ac:dyDescent="0.25">
      <c r="A85" s="37"/>
      <c r="B85" s="37"/>
      <c r="C85" s="15" t="s">
        <v>70</v>
      </c>
      <c r="D85" s="15"/>
      <c r="E85" s="15"/>
      <c r="F85" s="15"/>
      <c r="G85" s="15"/>
      <c r="H85" s="29" t="s">
        <v>58</v>
      </c>
      <c r="I85" s="28" t="s">
        <v>72</v>
      </c>
      <c r="J85" s="28"/>
      <c r="K85" s="30">
        <f>K71/K78</f>
        <v>8</v>
      </c>
      <c r="L85" s="30"/>
      <c r="M85" s="30">
        <v>0</v>
      </c>
      <c r="N85" s="30"/>
      <c r="O85" s="30" t="s">
        <v>73</v>
      </c>
      <c r="P85" s="30"/>
    </row>
    <row r="86" spans="1:16" ht="31.5" customHeight="1" x14ac:dyDescent="0.25">
      <c r="A86" s="37"/>
      <c r="B86" s="37"/>
      <c r="C86" s="52" t="s">
        <v>110</v>
      </c>
      <c r="D86" s="53"/>
      <c r="E86" s="53"/>
      <c r="F86" s="53"/>
      <c r="G86" s="54"/>
      <c r="H86" s="29" t="s">
        <v>58</v>
      </c>
      <c r="I86" s="28" t="s">
        <v>72</v>
      </c>
      <c r="J86" s="28"/>
      <c r="K86" s="30">
        <f>K72/K79+1.923</f>
        <v>724.31615384615395</v>
      </c>
      <c r="L86" s="30"/>
      <c r="M86" s="30">
        <f>M72/M79</f>
        <v>630.29981000000009</v>
      </c>
      <c r="N86" s="30"/>
      <c r="O86" s="30" t="s">
        <v>73</v>
      </c>
      <c r="P86" s="30"/>
    </row>
    <row r="87" spans="1:16" x14ac:dyDescent="0.25">
      <c r="A87" s="37">
        <v>4</v>
      </c>
      <c r="B87" s="37"/>
      <c r="C87" s="47" t="s">
        <v>74</v>
      </c>
      <c r="D87" s="47"/>
      <c r="E87" s="47"/>
      <c r="F87" s="47"/>
      <c r="G87" s="47"/>
      <c r="H87" s="29"/>
      <c r="I87" s="28"/>
      <c r="J87" s="28"/>
      <c r="K87" s="30"/>
      <c r="L87" s="30"/>
      <c r="M87" s="30"/>
      <c r="N87" s="30"/>
      <c r="O87" s="30"/>
      <c r="P87" s="30"/>
    </row>
    <row r="88" spans="1:16" ht="45" customHeight="1" x14ac:dyDescent="0.25">
      <c r="A88" s="37"/>
      <c r="B88" s="37"/>
      <c r="C88" s="15" t="s">
        <v>75</v>
      </c>
      <c r="D88" s="15"/>
      <c r="E88" s="15"/>
      <c r="F88" s="15"/>
      <c r="G88" s="15"/>
      <c r="H88" s="29" t="s">
        <v>77</v>
      </c>
      <c r="I88" s="28" t="s">
        <v>72</v>
      </c>
      <c r="J88" s="28"/>
      <c r="K88" s="48">
        <v>100</v>
      </c>
      <c r="L88" s="48"/>
      <c r="M88" s="48">
        <v>100</v>
      </c>
      <c r="N88" s="48"/>
      <c r="O88" s="48">
        <f>M88-K88</f>
        <v>0</v>
      </c>
      <c r="P88" s="48"/>
    </row>
    <row r="89" spans="1:16" ht="29.25" customHeight="1" x14ac:dyDescent="0.25">
      <c r="A89" s="37"/>
      <c r="B89" s="37"/>
      <c r="C89" s="15" t="s">
        <v>76</v>
      </c>
      <c r="D89" s="15"/>
      <c r="E89" s="15"/>
      <c r="F89" s="15"/>
      <c r="G89" s="15"/>
      <c r="H89" s="29" t="s">
        <v>77</v>
      </c>
      <c r="I89" s="28" t="s">
        <v>72</v>
      </c>
      <c r="J89" s="28"/>
      <c r="K89" s="48">
        <v>100</v>
      </c>
      <c r="L89" s="48"/>
      <c r="M89" s="48">
        <f>M72/K72*100</f>
        <v>46.981647538826877</v>
      </c>
      <c r="N89" s="48"/>
      <c r="O89" s="48">
        <f>M89-K89</f>
        <v>-53.018352461173123</v>
      </c>
      <c r="P89" s="48"/>
    </row>
    <row r="90" spans="1:16" ht="19.5" customHeight="1" x14ac:dyDescent="0.25">
      <c r="A90" s="38" t="s">
        <v>233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40"/>
    </row>
    <row r="91" spans="1:16" ht="17.25" customHeight="1" x14ac:dyDescent="0.25">
      <c r="A91" s="52" t="s">
        <v>244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4"/>
    </row>
    <row r="92" spans="1:16" ht="17.25" customHeight="1" x14ac:dyDescent="0.25">
      <c r="A92" s="37"/>
      <c r="B92" s="37">
        <v>1011020</v>
      </c>
      <c r="C92" s="38" t="s">
        <v>111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40"/>
    </row>
    <row r="93" spans="1:16" ht="18.75" customHeight="1" x14ac:dyDescent="0.25">
      <c r="A93" s="37">
        <v>1</v>
      </c>
      <c r="B93" s="37"/>
      <c r="C93" s="38" t="s">
        <v>56</v>
      </c>
      <c r="D93" s="39"/>
      <c r="E93" s="39"/>
      <c r="F93" s="39"/>
      <c r="G93" s="40"/>
      <c r="H93" s="29"/>
      <c r="I93" s="80"/>
      <c r="J93" s="81"/>
      <c r="K93" s="78"/>
      <c r="L93" s="79"/>
      <c r="M93" s="78"/>
      <c r="N93" s="79"/>
      <c r="O93" s="78"/>
      <c r="P93" s="79"/>
    </row>
    <row r="94" spans="1:16" ht="28.5" customHeight="1" x14ac:dyDescent="0.25">
      <c r="A94" s="37"/>
      <c r="B94" s="37"/>
      <c r="C94" s="52" t="s">
        <v>112</v>
      </c>
      <c r="D94" s="53"/>
      <c r="E94" s="53"/>
      <c r="F94" s="53"/>
      <c r="G94" s="54"/>
      <c r="H94" s="29" t="s">
        <v>58</v>
      </c>
      <c r="I94" s="28" t="s">
        <v>62</v>
      </c>
      <c r="J94" s="28"/>
      <c r="K94" s="76">
        <f>960447/1000</f>
        <v>960.447</v>
      </c>
      <c r="L94" s="77"/>
      <c r="M94" s="76">
        <f>960447/1000</f>
        <v>960.447</v>
      </c>
      <c r="N94" s="77"/>
      <c r="O94" s="78">
        <f>K94-M94</f>
        <v>0</v>
      </c>
      <c r="P94" s="79"/>
    </row>
    <row r="95" spans="1:16" ht="18.75" customHeight="1" x14ac:dyDescent="0.25">
      <c r="A95" s="37">
        <v>2</v>
      </c>
      <c r="B95" s="37"/>
      <c r="C95" s="38" t="s">
        <v>64</v>
      </c>
      <c r="D95" s="39"/>
      <c r="E95" s="39"/>
      <c r="F95" s="39"/>
      <c r="G95" s="40"/>
      <c r="H95" s="29"/>
      <c r="I95" s="80"/>
      <c r="J95" s="81"/>
      <c r="K95" s="78"/>
      <c r="L95" s="79"/>
      <c r="M95" s="78"/>
      <c r="N95" s="79"/>
      <c r="O95" s="78"/>
      <c r="P95" s="79"/>
    </row>
    <row r="96" spans="1:16" ht="26.25" customHeight="1" x14ac:dyDescent="0.25">
      <c r="A96" s="37"/>
      <c r="B96" s="37"/>
      <c r="C96" s="52" t="s">
        <v>113</v>
      </c>
      <c r="D96" s="53"/>
      <c r="E96" s="53"/>
      <c r="F96" s="53"/>
      <c r="G96" s="54"/>
      <c r="H96" s="29" t="s">
        <v>92</v>
      </c>
      <c r="I96" s="80" t="s">
        <v>114</v>
      </c>
      <c r="J96" s="81"/>
      <c r="K96" s="78">
        <v>1700</v>
      </c>
      <c r="L96" s="79"/>
      <c r="M96" s="78">
        <v>1700</v>
      </c>
      <c r="N96" s="79"/>
      <c r="O96" s="78">
        <f>K96-M96</f>
        <v>0</v>
      </c>
      <c r="P96" s="79"/>
    </row>
    <row r="97" spans="1:16" ht="18.75" customHeight="1" x14ac:dyDescent="0.25">
      <c r="A97" s="37">
        <v>3</v>
      </c>
      <c r="B97" s="37"/>
      <c r="C97" s="38" t="s">
        <v>68</v>
      </c>
      <c r="D97" s="39"/>
      <c r="E97" s="39"/>
      <c r="F97" s="39"/>
      <c r="G97" s="40"/>
      <c r="H97" s="29"/>
      <c r="I97" s="80"/>
      <c r="J97" s="81"/>
      <c r="K97" s="78"/>
      <c r="L97" s="79"/>
      <c r="M97" s="78"/>
      <c r="N97" s="79"/>
      <c r="O97" s="78"/>
      <c r="P97" s="79"/>
    </row>
    <row r="98" spans="1:16" ht="27.75" customHeight="1" x14ac:dyDescent="0.25">
      <c r="A98" s="37"/>
      <c r="B98" s="37"/>
      <c r="C98" s="52" t="s">
        <v>115</v>
      </c>
      <c r="D98" s="53"/>
      <c r="E98" s="53"/>
      <c r="F98" s="53"/>
      <c r="G98" s="54"/>
      <c r="H98" s="29" t="s">
        <v>96</v>
      </c>
      <c r="I98" s="80" t="s">
        <v>72</v>
      </c>
      <c r="J98" s="81"/>
      <c r="K98" s="78">
        <f>K94/K96*1000</f>
        <v>564.96882352941179</v>
      </c>
      <c r="L98" s="79"/>
      <c r="M98" s="78">
        <f>M94/M96*1000</f>
        <v>564.96882352941179</v>
      </c>
      <c r="N98" s="79"/>
      <c r="O98" s="78">
        <f>K98-M98</f>
        <v>0</v>
      </c>
      <c r="P98" s="79"/>
    </row>
    <row r="99" spans="1:16" ht="18.75" customHeight="1" x14ac:dyDescent="0.25">
      <c r="A99" s="37">
        <v>4</v>
      </c>
      <c r="B99" s="37"/>
      <c r="C99" s="38" t="s">
        <v>74</v>
      </c>
      <c r="D99" s="39"/>
      <c r="E99" s="39"/>
      <c r="F99" s="39"/>
      <c r="G99" s="40"/>
      <c r="H99" s="29"/>
      <c r="I99" s="80"/>
      <c r="J99" s="81"/>
      <c r="K99" s="78"/>
      <c r="L99" s="79"/>
      <c r="M99" s="78"/>
      <c r="N99" s="79"/>
      <c r="O99" s="78"/>
      <c r="P99" s="79"/>
    </row>
    <row r="100" spans="1:16" ht="27.75" customHeight="1" x14ac:dyDescent="0.25">
      <c r="A100" s="37"/>
      <c r="B100" s="37"/>
      <c r="C100" s="52" t="s">
        <v>116</v>
      </c>
      <c r="D100" s="53"/>
      <c r="E100" s="53"/>
      <c r="F100" s="53"/>
      <c r="G100" s="54"/>
      <c r="H100" s="29" t="s">
        <v>77</v>
      </c>
      <c r="I100" s="80" t="s">
        <v>114</v>
      </c>
      <c r="J100" s="81"/>
      <c r="K100" s="78">
        <v>100</v>
      </c>
      <c r="L100" s="79"/>
      <c r="M100" s="78">
        <v>100</v>
      </c>
      <c r="N100" s="79"/>
      <c r="O100" s="78">
        <f>K100-M100</f>
        <v>0</v>
      </c>
      <c r="P100" s="79"/>
    </row>
    <row r="101" spans="1:16" ht="15.75" customHeight="1" x14ac:dyDescent="0.25">
      <c r="A101" s="47" t="s">
        <v>240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</row>
    <row r="102" spans="1:16" ht="45.75" customHeight="1" x14ac:dyDescent="0.25">
      <c r="A102" s="52" t="s">
        <v>288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4"/>
    </row>
    <row r="103" spans="1:16" s="82" customFormat="1" x14ac:dyDescent="0.25">
      <c r="H103" s="83"/>
    </row>
    <row r="104" spans="1:16" x14ac:dyDescent="0.25">
      <c r="A104" s="17" t="s">
        <v>40</v>
      </c>
      <c r="B104" s="23" t="s">
        <v>305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1:16" ht="12" customHeight="1" x14ac:dyDescent="0.25">
      <c r="P105" s="24" t="s">
        <v>16</v>
      </c>
    </row>
    <row r="106" spans="1:16" ht="47.25" customHeight="1" x14ac:dyDescent="0.25">
      <c r="A106" s="59" t="s">
        <v>41</v>
      </c>
      <c r="B106" s="60" t="s">
        <v>42</v>
      </c>
      <c r="C106" s="61"/>
      <c r="D106" s="59" t="s">
        <v>26</v>
      </c>
      <c r="E106" s="25" t="s">
        <v>43</v>
      </c>
      <c r="F106" s="25"/>
      <c r="G106" s="25"/>
      <c r="H106" s="25" t="s">
        <v>44</v>
      </c>
      <c r="I106" s="25"/>
      <c r="J106" s="25"/>
      <c r="K106" s="25" t="s">
        <v>45</v>
      </c>
      <c r="L106" s="25"/>
      <c r="M106" s="25"/>
      <c r="N106" s="25" t="s">
        <v>46</v>
      </c>
      <c r="O106" s="25"/>
      <c r="P106" s="25"/>
    </row>
    <row r="107" spans="1:16" ht="45" x14ac:dyDescent="0.25">
      <c r="A107" s="62"/>
      <c r="B107" s="63"/>
      <c r="C107" s="64"/>
      <c r="D107" s="62"/>
      <c r="E107" s="34" t="s">
        <v>19</v>
      </c>
      <c r="F107" s="34" t="s">
        <v>20</v>
      </c>
      <c r="G107" s="34" t="s">
        <v>21</v>
      </c>
      <c r="H107" s="34" t="s">
        <v>19</v>
      </c>
      <c r="I107" s="34" t="s">
        <v>20</v>
      </c>
      <c r="J107" s="34" t="s">
        <v>21</v>
      </c>
      <c r="K107" s="34" t="s">
        <v>19</v>
      </c>
      <c r="L107" s="34" t="s">
        <v>20</v>
      </c>
      <c r="M107" s="34" t="s">
        <v>21</v>
      </c>
      <c r="N107" s="34" t="s">
        <v>19</v>
      </c>
      <c r="O107" s="34" t="s">
        <v>20</v>
      </c>
      <c r="P107" s="34" t="s">
        <v>21</v>
      </c>
    </row>
    <row r="108" spans="1:16" s="36" customFormat="1" ht="8.25" customHeight="1" x14ac:dyDescent="0.25">
      <c r="A108" s="29">
        <v>1</v>
      </c>
      <c r="B108" s="28">
        <v>2</v>
      </c>
      <c r="C108" s="28"/>
      <c r="D108" s="29">
        <v>3</v>
      </c>
      <c r="E108" s="29">
        <v>4</v>
      </c>
      <c r="F108" s="29">
        <v>5</v>
      </c>
      <c r="G108" s="29">
        <v>6</v>
      </c>
      <c r="H108" s="29">
        <v>7</v>
      </c>
      <c r="I108" s="29">
        <v>8</v>
      </c>
      <c r="J108" s="29">
        <v>9</v>
      </c>
      <c r="K108" s="29">
        <v>10</v>
      </c>
      <c r="L108" s="29">
        <v>11</v>
      </c>
      <c r="M108" s="29">
        <v>12</v>
      </c>
      <c r="N108" s="29">
        <v>13</v>
      </c>
      <c r="O108" s="29">
        <v>14</v>
      </c>
      <c r="P108" s="29">
        <v>15</v>
      </c>
    </row>
    <row r="109" spans="1:16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</row>
    <row r="110" spans="1:16" ht="5.25" customHeight="1" x14ac:dyDescent="0.25"/>
    <row r="111" spans="1:16" ht="12" customHeight="1" x14ac:dyDescent="0.25">
      <c r="A111" s="23" t="s">
        <v>306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1:16" ht="10.5" customHeight="1" x14ac:dyDescent="0.25">
      <c r="A112" s="23" t="s">
        <v>307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1:16" ht="11.25" customHeight="1" x14ac:dyDescent="0.25">
      <c r="A113" s="23" t="s">
        <v>308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9" spans="1:16" x14ac:dyDescent="0.25">
      <c r="A119" s="65" t="s">
        <v>47</v>
      </c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5" t="s">
        <v>48</v>
      </c>
      <c r="N119" s="66"/>
      <c r="O119" s="66"/>
    </row>
    <row r="123" spans="1:16" x14ac:dyDescent="0.25">
      <c r="A123" s="65" t="str">
        <f>'1010'!A116</f>
        <v xml:space="preserve">Спеціаліст І категорії, бухгалтер управління освіти і науки 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 t="str">
        <f>'1010'!M116</f>
        <v>Ю.Філатова</v>
      </c>
    </row>
  </sheetData>
  <mergeCells count="304">
    <mergeCell ref="A101:P101"/>
    <mergeCell ref="A102:P102"/>
    <mergeCell ref="O97:P97"/>
    <mergeCell ref="O98:P98"/>
    <mergeCell ref="O99:P99"/>
    <mergeCell ref="O100:P100"/>
    <mergeCell ref="O86:P86"/>
    <mergeCell ref="O93:P93"/>
    <mergeCell ref="O79:P79"/>
    <mergeCell ref="O82:P82"/>
    <mergeCell ref="O88:P88"/>
    <mergeCell ref="M97:N97"/>
    <mergeCell ref="M98:N98"/>
    <mergeCell ref="M99:N99"/>
    <mergeCell ref="M100:N100"/>
    <mergeCell ref="I95:J95"/>
    <mergeCell ref="I96:J96"/>
    <mergeCell ref="I97:J97"/>
    <mergeCell ref="I98:J98"/>
    <mergeCell ref="I99:J99"/>
    <mergeCell ref="I100:J100"/>
    <mergeCell ref="I86:J86"/>
    <mergeCell ref="I93:J93"/>
    <mergeCell ref="K98:L98"/>
    <mergeCell ref="C69:G69"/>
    <mergeCell ref="I69:J69"/>
    <mergeCell ref="K69:L69"/>
    <mergeCell ref="M69:N69"/>
    <mergeCell ref="O69:P69"/>
    <mergeCell ref="K59:L59"/>
    <mergeCell ref="K60:L60"/>
    <mergeCell ref="O46:P46"/>
    <mergeCell ref="O47:P47"/>
    <mergeCell ref="O48:P48"/>
    <mergeCell ref="O49:P49"/>
    <mergeCell ref="O50:P50"/>
    <mergeCell ref="O51:P51"/>
    <mergeCell ref="O52:P52"/>
    <mergeCell ref="O55:P55"/>
    <mergeCell ref="O56:P56"/>
    <mergeCell ref="M50:N50"/>
    <mergeCell ref="M51:N51"/>
    <mergeCell ref="M52:N52"/>
    <mergeCell ref="M55:N55"/>
    <mergeCell ref="M56:N56"/>
    <mergeCell ref="K46:L46"/>
    <mergeCell ref="K47:L47"/>
    <mergeCell ref="K48:L48"/>
    <mergeCell ref="C45:P45"/>
    <mergeCell ref="C92:P92"/>
    <mergeCell ref="O94:P94"/>
    <mergeCell ref="O95:P95"/>
    <mergeCell ref="O96:P96"/>
    <mergeCell ref="A74:P74"/>
    <mergeCell ref="A80:P80"/>
    <mergeCell ref="A81:P81"/>
    <mergeCell ref="A90:P90"/>
    <mergeCell ref="A91:P91"/>
    <mergeCell ref="M94:N94"/>
    <mergeCell ref="M95:N95"/>
    <mergeCell ref="M96:N96"/>
    <mergeCell ref="M86:N86"/>
    <mergeCell ref="M93:N93"/>
    <mergeCell ref="K82:L82"/>
    <mergeCell ref="M82:N82"/>
    <mergeCell ref="K79:L79"/>
    <mergeCell ref="M79:N79"/>
    <mergeCell ref="M88:N88"/>
    <mergeCell ref="M46:N46"/>
    <mergeCell ref="M47:N47"/>
    <mergeCell ref="M48:N48"/>
    <mergeCell ref="M49:N49"/>
    <mergeCell ref="K49:L49"/>
    <mergeCell ref="K50:L50"/>
    <mergeCell ref="K51:L51"/>
    <mergeCell ref="K52:L52"/>
    <mergeCell ref="K55:L55"/>
    <mergeCell ref="K56:L56"/>
    <mergeCell ref="A53:P53"/>
    <mergeCell ref="A54:P54"/>
    <mergeCell ref="K99:L99"/>
    <mergeCell ref="I55:J55"/>
    <mergeCell ref="I56:J56"/>
    <mergeCell ref="C94:G94"/>
    <mergeCell ref="C58:G58"/>
    <mergeCell ref="C59:G59"/>
    <mergeCell ref="C60:G60"/>
    <mergeCell ref="C61:G61"/>
    <mergeCell ref="I57:J57"/>
    <mergeCell ref="C95:G95"/>
    <mergeCell ref="C96:G96"/>
    <mergeCell ref="C97:G97"/>
    <mergeCell ref="C98:G98"/>
    <mergeCell ref="C99:G99"/>
    <mergeCell ref="M57:N57"/>
    <mergeCell ref="M58:N58"/>
    <mergeCell ref="K100:L100"/>
    <mergeCell ref="K86:L86"/>
    <mergeCell ref="K93:L93"/>
    <mergeCell ref="K95:L95"/>
    <mergeCell ref="K96:L96"/>
    <mergeCell ref="K97:L97"/>
    <mergeCell ref="K88:L88"/>
    <mergeCell ref="K94:L94"/>
    <mergeCell ref="C46:G46"/>
    <mergeCell ref="C47:G47"/>
    <mergeCell ref="C48:G48"/>
    <mergeCell ref="C49:G49"/>
    <mergeCell ref="C50:G50"/>
    <mergeCell ref="C51:G51"/>
    <mergeCell ref="C52:G52"/>
    <mergeCell ref="C55:G55"/>
    <mergeCell ref="I94:J94"/>
    <mergeCell ref="I46:J46"/>
    <mergeCell ref="I47:J47"/>
    <mergeCell ref="I48:J48"/>
    <mergeCell ref="I49:J49"/>
    <mergeCell ref="I50:J50"/>
    <mergeCell ref="I51:J51"/>
    <mergeCell ref="I52:J52"/>
    <mergeCell ref="C100:G100"/>
    <mergeCell ref="C86:G86"/>
    <mergeCell ref="C93:G93"/>
    <mergeCell ref="A18:F18"/>
    <mergeCell ref="G18:L18"/>
    <mergeCell ref="A35:F36"/>
    <mergeCell ref="G35:I35"/>
    <mergeCell ref="J35:L35"/>
    <mergeCell ref="C44:G44"/>
    <mergeCell ref="I44:J44"/>
    <mergeCell ref="K44:L44"/>
    <mergeCell ref="C56:G56"/>
    <mergeCell ref="C67:G67"/>
    <mergeCell ref="I67:J67"/>
    <mergeCell ref="K67:L67"/>
    <mergeCell ref="C68:G68"/>
    <mergeCell ref="I68:J68"/>
    <mergeCell ref="K68:L68"/>
    <mergeCell ref="C57:G57"/>
    <mergeCell ref="K61:L61"/>
    <mergeCell ref="C70:G70"/>
    <mergeCell ref="I70:J70"/>
    <mergeCell ref="K70:L70"/>
    <mergeCell ref="C83:G83"/>
    <mergeCell ref="M18:P18"/>
    <mergeCell ref="M21:N21"/>
    <mergeCell ref="B23:P23"/>
    <mergeCell ref="A25:A26"/>
    <mergeCell ref="B25:B26"/>
    <mergeCell ref="C25:C26"/>
    <mergeCell ref="D25:F26"/>
    <mergeCell ref="G25:I25"/>
    <mergeCell ref="J25:L25"/>
    <mergeCell ref="M25:O25"/>
    <mergeCell ref="P25:P26"/>
    <mergeCell ref="A21:B21"/>
    <mergeCell ref="C21:D21"/>
    <mergeCell ref="E21:F21"/>
    <mergeCell ref="G21:H21"/>
    <mergeCell ref="I21:J21"/>
    <mergeCell ref="K21:L21"/>
    <mergeCell ref="A6:P6"/>
    <mergeCell ref="A7:P7"/>
    <mergeCell ref="A8:P8"/>
    <mergeCell ref="C10:P10"/>
    <mergeCell ref="C11:P11"/>
    <mergeCell ref="C12:P1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C13:P13"/>
    <mergeCell ref="D14:P14"/>
    <mergeCell ref="D15:P15"/>
    <mergeCell ref="B16:P16"/>
    <mergeCell ref="M35:O35"/>
    <mergeCell ref="P35:P36"/>
    <mergeCell ref="A37:F37"/>
    <mergeCell ref="Q25:S25"/>
    <mergeCell ref="T25:V25"/>
    <mergeCell ref="D27:F27"/>
    <mergeCell ref="D29:F29"/>
    <mergeCell ref="D30:F30"/>
    <mergeCell ref="B33:P33"/>
    <mergeCell ref="D31:F31"/>
    <mergeCell ref="D28:F28"/>
    <mergeCell ref="M44:N44"/>
    <mergeCell ref="O44:P44"/>
    <mergeCell ref="A38:F38"/>
    <mergeCell ref="A39:F39"/>
    <mergeCell ref="B41:P41"/>
    <mergeCell ref="C43:G43"/>
    <mergeCell ref="I43:J43"/>
    <mergeCell ref="K43:L43"/>
    <mergeCell ref="M43:N43"/>
    <mergeCell ref="O43:P43"/>
    <mergeCell ref="M59:N59"/>
    <mergeCell ref="M60:N60"/>
    <mergeCell ref="M61:N61"/>
    <mergeCell ref="M67:N67"/>
    <mergeCell ref="M68:N68"/>
    <mergeCell ref="O60:P60"/>
    <mergeCell ref="O61:P61"/>
    <mergeCell ref="O57:P57"/>
    <mergeCell ref="O58:P58"/>
    <mergeCell ref="O59:P59"/>
    <mergeCell ref="A62:P62"/>
    <mergeCell ref="A63:P63"/>
    <mergeCell ref="O67:P67"/>
    <mergeCell ref="O68:P68"/>
    <mergeCell ref="I58:J58"/>
    <mergeCell ref="I59:J59"/>
    <mergeCell ref="I60:J60"/>
    <mergeCell ref="I61:J61"/>
    <mergeCell ref="C66:P66"/>
    <mergeCell ref="K57:L57"/>
    <mergeCell ref="K58:L58"/>
    <mergeCell ref="A64:P64"/>
    <mergeCell ref="A65:P65"/>
    <mergeCell ref="M70:N70"/>
    <mergeCell ref="O70:P70"/>
    <mergeCell ref="C71:G71"/>
    <mergeCell ref="I71:J71"/>
    <mergeCell ref="K71:L71"/>
    <mergeCell ref="M71:N71"/>
    <mergeCell ref="O71:P71"/>
    <mergeCell ref="C75:G75"/>
    <mergeCell ref="I75:J75"/>
    <mergeCell ref="K75:L75"/>
    <mergeCell ref="M75:N75"/>
    <mergeCell ref="O75:P75"/>
    <mergeCell ref="C72:G72"/>
    <mergeCell ref="I72:J72"/>
    <mergeCell ref="K72:L72"/>
    <mergeCell ref="M72:N72"/>
    <mergeCell ref="O72:P72"/>
    <mergeCell ref="A73:P73"/>
    <mergeCell ref="I83:J83"/>
    <mergeCell ref="K83:L83"/>
    <mergeCell ref="M83:N83"/>
    <mergeCell ref="O83:P83"/>
    <mergeCell ref="C76:G76"/>
    <mergeCell ref="I76:J76"/>
    <mergeCell ref="K76:L76"/>
    <mergeCell ref="M76:N76"/>
    <mergeCell ref="O76:P76"/>
    <mergeCell ref="C77:G77"/>
    <mergeCell ref="I77:J77"/>
    <mergeCell ref="K77:L77"/>
    <mergeCell ref="M77:N77"/>
    <mergeCell ref="O77:P77"/>
    <mergeCell ref="C79:G79"/>
    <mergeCell ref="I79:J79"/>
    <mergeCell ref="C78:G78"/>
    <mergeCell ref="I78:J78"/>
    <mergeCell ref="K78:L78"/>
    <mergeCell ref="M78:N78"/>
    <mergeCell ref="O78:P78"/>
    <mergeCell ref="C82:G82"/>
    <mergeCell ref="I82:J82"/>
    <mergeCell ref="C89:G89"/>
    <mergeCell ref="I89:J89"/>
    <mergeCell ref="K89:L89"/>
    <mergeCell ref="M89:N89"/>
    <mergeCell ref="O89:P89"/>
    <mergeCell ref="C84:G84"/>
    <mergeCell ref="I84:J84"/>
    <mergeCell ref="K84:L84"/>
    <mergeCell ref="M84:N84"/>
    <mergeCell ref="O84:P84"/>
    <mergeCell ref="B108:C108"/>
    <mergeCell ref="A111:P111"/>
    <mergeCell ref="A112:P112"/>
    <mergeCell ref="A113:P113"/>
    <mergeCell ref="C85:G85"/>
    <mergeCell ref="I85:J85"/>
    <mergeCell ref="K85:L85"/>
    <mergeCell ref="M85:N85"/>
    <mergeCell ref="O85:P85"/>
    <mergeCell ref="C87:G87"/>
    <mergeCell ref="I87:J87"/>
    <mergeCell ref="K87:L87"/>
    <mergeCell ref="M87:N87"/>
    <mergeCell ref="O87:P87"/>
    <mergeCell ref="B104:P104"/>
    <mergeCell ref="A106:A107"/>
    <mergeCell ref="B106:C107"/>
    <mergeCell ref="D106:D107"/>
    <mergeCell ref="E106:G106"/>
    <mergeCell ref="H106:J106"/>
    <mergeCell ref="K106:M106"/>
    <mergeCell ref="N106:P106"/>
    <mergeCell ref="C88:G88"/>
    <mergeCell ref="I88:J88"/>
  </mergeCells>
  <pageMargins left="0.19685039370078741" right="0.19685039370078741" top="0.39370078740157483" bottom="0.19685039370078741" header="0.11811023622047245" footer="0.11811023622047245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78"/>
  <sheetViews>
    <sheetView view="pageBreakPreview" topLeftCell="A59" zoomScale="70" zoomScaleSheetLayoutView="70" workbookViewId="0">
      <selection activeCell="M79" sqref="M79"/>
    </sheetView>
  </sheetViews>
  <sheetFormatPr defaultRowHeight="14.25" customHeight="1" x14ac:dyDescent="0.25"/>
  <cols>
    <col min="1" max="1" width="5" style="17" customWidth="1"/>
    <col min="2" max="2" width="10.28515625" style="17" customWidth="1"/>
    <col min="3" max="3" width="9.140625" style="17" customWidth="1"/>
    <col min="4" max="4" width="7.140625" style="17" customWidth="1"/>
    <col min="5" max="5" width="7.85546875" style="17" customWidth="1"/>
    <col min="6" max="6" width="8.85546875" style="17" customWidth="1"/>
    <col min="7" max="8" width="14.42578125" style="17" customWidth="1"/>
    <col min="9" max="9" width="26.7109375" style="17" customWidth="1"/>
    <col min="10" max="10" width="20.28515625" style="17" customWidth="1"/>
    <col min="11" max="11" width="13.7109375" style="17" customWidth="1"/>
    <col min="12" max="12" width="14" style="17" customWidth="1"/>
    <col min="13" max="13" width="14.5703125" style="17" customWidth="1"/>
    <col min="14" max="14" width="13.28515625" style="17" customWidth="1"/>
    <col min="15" max="15" width="18" style="17" customWidth="1"/>
    <col min="16" max="16" width="38" style="17" customWidth="1"/>
    <col min="17" max="16384" width="9.140625" style="17"/>
  </cols>
  <sheetData>
    <row r="1" spans="1:16" ht="14.25" customHeight="1" x14ac:dyDescent="0.25">
      <c r="P1" s="5" t="s">
        <v>0</v>
      </c>
    </row>
    <row r="2" spans="1:16" ht="14.25" customHeight="1" x14ac:dyDescent="0.25">
      <c r="P2" s="5" t="s">
        <v>1</v>
      </c>
    </row>
    <row r="3" spans="1:16" ht="14.25" customHeight="1" x14ac:dyDescent="0.25">
      <c r="P3" s="5" t="s">
        <v>2</v>
      </c>
    </row>
    <row r="6" spans="1:16" ht="14.25" customHeight="1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14.25" customHeight="1" x14ac:dyDescent="0.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4.25" customHeight="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10" spans="1:16" ht="14.25" customHeight="1" x14ac:dyDescent="0.25">
      <c r="A10" s="19" t="s">
        <v>6</v>
      </c>
      <c r="B10" s="20">
        <v>1000000</v>
      </c>
      <c r="C10" s="21" t="s">
        <v>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4.25" customHeight="1" x14ac:dyDescent="0.25">
      <c r="B11" s="1" t="s">
        <v>7</v>
      </c>
      <c r="C11" s="13" t="s">
        <v>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4.25" customHeight="1" x14ac:dyDescent="0.25">
      <c r="A12" s="19" t="s">
        <v>9</v>
      </c>
      <c r="B12" s="20">
        <v>1010000</v>
      </c>
      <c r="C12" s="21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4.25" customHeight="1" x14ac:dyDescent="0.25">
      <c r="B13" s="1" t="s">
        <v>7</v>
      </c>
      <c r="C13" s="13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4.25" customHeight="1" x14ac:dyDescent="0.25">
      <c r="A14" s="19" t="s">
        <v>11</v>
      </c>
      <c r="B14" s="20">
        <v>1011030</v>
      </c>
      <c r="C14" s="22" t="s">
        <v>78</v>
      </c>
      <c r="D14" s="21" t="s">
        <v>117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4.25" customHeight="1" x14ac:dyDescent="0.25">
      <c r="B15" s="1" t="s">
        <v>7</v>
      </c>
      <c r="C15" s="1" t="s">
        <v>12</v>
      </c>
      <c r="D15" s="14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4.25" customHeight="1" x14ac:dyDescent="0.25">
      <c r="A16" s="19" t="s">
        <v>14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22" ht="14.25" customHeight="1" x14ac:dyDescent="0.25">
      <c r="P17" s="2" t="s">
        <v>16</v>
      </c>
    </row>
    <row r="18" spans="1:22" ht="15" customHeight="1" x14ac:dyDescent="0.25">
      <c r="A18" s="25" t="s">
        <v>17</v>
      </c>
      <c r="B18" s="25"/>
      <c r="C18" s="25"/>
      <c r="D18" s="25"/>
      <c r="E18" s="25"/>
      <c r="F18" s="25"/>
      <c r="G18" s="25" t="s">
        <v>18</v>
      </c>
      <c r="H18" s="25"/>
      <c r="I18" s="25"/>
      <c r="J18" s="25"/>
      <c r="K18" s="25"/>
      <c r="L18" s="25"/>
      <c r="M18" s="25" t="s">
        <v>22</v>
      </c>
      <c r="N18" s="25"/>
      <c r="O18" s="25"/>
      <c r="P18" s="25"/>
    </row>
    <row r="19" spans="1:22" ht="32.25" customHeight="1" x14ac:dyDescent="0.25">
      <c r="A19" s="26" t="s">
        <v>19</v>
      </c>
      <c r="B19" s="26"/>
      <c r="C19" s="26" t="s">
        <v>20</v>
      </c>
      <c r="D19" s="26"/>
      <c r="E19" s="26" t="s">
        <v>21</v>
      </c>
      <c r="F19" s="26"/>
      <c r="G19" s="26" t="s">
        <v>19</v>
      </c>
      <c r="H19" s="26"/>
      <c r="I19" s="26" t="s">
        <v>20</v>
      </c>
      <c r="J19" s="26"/>
      <c r="K19" s="26" t="s">
        <v>21</v>
      </c>
      <c r="L19" s="26"/>
      <c r="M19" s="26" t="s">
        <v>19</v>
      </c>
      <c r="N19" s="26"/>
      <c r="O19" s="27" t="s">
        <v>20</v>
      </c>
      <c r="P19" s="27" t="s">
        <v>21</v>
      </c>
    </row>
    <row r="20" spans="1:22" s="3" customFormat="1" ht="9.75" customHeight="1" x14ac:dyDescent="0.2">
      <c r="A20" s="12">
        <v>1</v>
      </c>
      <c r="B20" s="12"/>
      <c r="C20" s="12">
        <v>2</v>
      </c>
      <c r="D20" s="12"/>
      <c r="E20" s="12">
        <v>3</v>
      </c>
      <c r="F20" s="12"/>
      <c r="G20" s="12">
        <v>4</v>
      </c>
      <c r="H20" s="12"/>
      <c r="I20" s="12">
        <v>5</v>
      </c>
      <c r="J20" s="12"/>
      <c r="K20" s="12">
        <v>6</v>
      </c>
      <c r="L20" s="12"/>
      <c r="M20" s="12">
        <v>7</v>
      </c>
      <c r="N20" s="12"/>
      <c r="O20" s="10">
        <v>8</v>
      </c>
      <c r="P20" s="10">
        <v>9</v>
      </c>
    </row>
    <row r="21" spans="1:22" ht="14.25" customHeight="1" x14ac:dyDescent="0.25">
      <c r="A21" s="70">
        <f>615966/1000</f>
        <v>615.96600000000001</v>
      </c>
      <c r="B21" s="70"/>
      <c r="C21" s="70">
        <v>0</v>
      </c>
      <c r="D21" s="70"/>
      <c r="E21" s="70">
        <f>A21+C21</f>
        <v>615.96600000000001</v>
      </c>
      <c r="F21" s="70"/>
      <c r="G21" s="70">
        <f>579409.75/1000</f>
        <v>579.40975000000003</v>
      </c>
      <c r="H21" s="70"/>
      <c r="I21" s="70">
        <v>0</v>
      </c>
      <c r="J21" s="70"/>
      <c r="K21" s="70">
        <f>G21+I21</f>
        <v>579.40975000000003</v>
      </c>
      <c r="L21" s="70"/>
      <c r="M21" s="70">
        <f>G21-A21</f>
        <v>-36.556249999999977</v>
      </c>
      <c r="N21" s="70"/>
      <c r="O21" s="71">
        <f>C21-I21</f>
        <v>0</v>
      </c>
      <c r="P21" s="72">
        <f>M21+O21</f>
        <v>-36.556249999999977</v>
      </c>
    </row>
    <row r="23" spans="1:22" ht="14.25" customHeight="1" x14ac:dyDescent="0.25">
      <c r="A23" s="19" t="s">
        <v>23</v>
      </c>
      <c r="B23" s="23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22" ht="14.25" customHeight="1" x14ac:dyDescent="0.25">
      <c r="P24" s="2" t="s">
        <v>16</v>
      </c>
    </row>
    <row r="25" spans="1:22" ht="30.75" customHeight="1" x14ac:dyDescent="0.25">
      <c r="A25" s="25" t="s">
        <v>25</v>
      </c>
      <c r="B25" s="25" t="s">
        <v>26</v>
      </c>
      <c r="C25" s="25" t="s">
        <v>27</v>
      </c>
      <c r="D25" s="25" t="s">
        <v>298</v>
      </c>
      <c r="E25" s="25"/>
      <c r="F25" s="25"/>
      <c r="G25" s="25" t="s">
        <v>28</v>
      </c>
      <c r="H25" s="25"/>
      <c r="I25" s="25"/>
      <c r="J25" s="25" t="s">
        <v>29</v>
      </c>
      <c r="K25" s="25"/>
      <c r="L25" s="25"/>
      <c r="M25" s="25" t="s">
        <v>22</v>
      </c>
      <c r="N25" s="25"/>
      <c r="O25" s="25"/>
      <c r="P25" s="32" t="s">
        <v>30</v>
      </c>
      <c r="Q25" s="33"/>
      <c r="R25" s="33"/>
      <c r="S25" s="33"/>
      <c r="T25" s="33"/>
      <c r="U25" s="33"/>
      <c r="V25" s="33"/>
    </row>
    <row r="26" spans="1:22" ht="40.5" customHeight="1" x14ac:dyDescent="0.25">
      <c r="A26" s="25"/>
      <c r="B26" s="25"/>
      <c r="C26" s="25"/>
      <c r="D26" s="25"/>
      <c r="E26" s="25"/>
      <c r="F26" s="25"/>
      <c r="G26" s="34" t="s">
        <v>19</v>
      </c>
      <c r="H26" s="34" t="s">
        <v>20</v>
      </c>
      <c r="I26" s="34" t="s">
        <v>21</v>
      </c>
      <c r="J26" s="34" t="s">
        <v>19</v>
      </c>
      <c r="K26" s="34" t="s">
        <v>20</v>
      </c>
      <c r="L26" s="34" t="s">
        <v>21</v>
      </c>
      <c r="M26" s="34" t="s">
        <v>19</v>
      </c>
      <c r="N26" s="34" t="s">
        <v>20</v>
      </c>
      <c r="O26" s="34" t="s">
        <v>21</v>
      </c>
      <c r="P26" s="32"/>
    </row>
    <row r="27" spans="1:22" s="4" customFormat="1" ht="14.25" customHeight="1" x14ac:dyDescent="0.25">
      <c r="A27" s="10">
        <v>1</v>
      </c>
      <c r="B27" s="10">
        <v>2</v>
      </c>
      <c r="C27" s="10">
        <v>3</v>
      </c>
      <c r="D27" s="12">
        <v>4</v>
      </c>
      <c r="E27" s="12"/>
      <c r="F27" s="12"/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1">
        <v>14</v>
      </c>
    </row>
    <row r="28" spans="1:22" ht="59.25" customHeight="1" x14ac:dyDescent="0.25">
      <c r="A28" s="29">
        <v>1</v>
      </c>
      <c r="B28" s="29">
        <v>1011030</v>
      </c>
      <c r="C28" s="74" t="s">
        <v>78</v>
      </c>
      <c r="D28" s="47" t="s">
        <v>318</v>
      </c>
      <c r="E28" s="15"/>
      <c r="F28" s="15"/>
      <c r="G28" s="9">
        <f>A21</f>
        <v>615.96600000000001</v>
      </c>
      <c r="H28" s="9">
        <f>C21</f>
        <v>0</v>
      </c>
      <c r="I28" s="9">
        <f>G28+H28</f>
        <v>615.96600000000001</v>
      </c>
      <c r="J28" s="9">
        <f>G21</f>
        <v>579.40975000000003</v>
      </c>
      <c r="K28" s="9">
        <f>I21</f>
        <v>0</v>
      </c>
      <c r="L28" s="9">
        <f>J28+K28</f>
        <v>579.40975000000003</v>
      </c>
      <c r="M28" s="9">
        <f>J28-G28</f>
        <v>-36.556249999999977</v>
      </c>
      <c r="N28" s="9">
        <f t="shared" ref="N28" si="0">H28-K28</f>
        <v>0</v>
      </c>
      <c r="O28" s="9">
        <f>M28+N28</f>
        <v>-36.556249999999977</v>
      </c>
      <c r="P28" s="44" t="s">
        <v>319</v>
      </c>
    </row>
    <row r="29" spans="1:22" ht="14.25" customHeight="1" x14ac:dyDescent="0.25">
      <c r="D29" s="46"/>
      <c r="E29" s="46"/>
      <c r="F29" s="46"/>
    </row>
    <row r="30" spans="1:22" ht="14.25" customHeight="1" x14ac:dyDescent="0.25">
      <c r="A30" s="17" t="s">
        <v>31</v>
      </c>
      <c r="B30" s="23" t="s">
        <v>32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22" ht="14.25" customHeight="1" x14ac:dyDescent="0.25">
      <c r="P31" s="2" t="s">
        <v>16</v>
      </c>
    </row>
    <row r="32" spans="1:22" ht="31.5" customHeight="1" x14ac:dyDescent="0.25">
      <c r="A32" s="25" t="s">
        <v>33</v>
      </c>
      <c r="B32" s="25"/>
      <c r="C32" s="25"/>
      <c r="D32" s="25"/>
      <c r="E32" s="25"/>
      <c r="F32" s="25"/>
      <c r="G32" s="25" t="s">
        <v>28</v>
      </c>
      <c r="H32" s="25"/>
      <c r="I32" s="25"/>
      <c r="J32" s="25" t="s">
        <v>29</v>
      </c>
      <c r="K32" s="25"/>
      <c r="L32" s="25"/>
      <c r="M32" s="25" t="s">
        <v>22</v>
      </c>
      <c r="N32" s="25"/>
      <c r="O32" s="25"/>
      <c r="P32" s="25" t="s">
        <v>30</v>
      </c>
    </row>
    <row r="33" spans="1:16" ht="34.5" customHeight="1" x14ac:dyDescent="0.25">
      <c r="A33" s="25"/>
      <c r="B33" s="25"/>
      <c r="C33" s="25"/>
      <c r="D33" s="25"/>
      <c r="E33" s="25"/>
      <c r="F33" s="25"/>
      <c r="G33" s="34" t="s">
        <v>19</v>
      </c>
      <c r="H33" s="34" t="s">
        <v>20</v>
      </c>
      <c r="I33" s="34" t="s">
        <v>21</v>
      </c>
      <c r="J33" s="34" t="s">
        <v>19</v>
      </c>
      <c r="K33" s="34" t="s">
        <v>20</v>
      </c>
      <c r="L33" s="34" t="s">
        <v>21</v>
      </c>
      <c r="M33" s="34" t="s">
        <v>19</v>
      </c>
      <c r="N33" s="34" t="s">
        <v>20</v>
      </c>
      <c r="O33" s="34" t="s">
        <v>21</v>
      </c>
      <c r="P33" s="25"/>
    </row>
    <row r="34" spans="1:16" s="4" customFormat="1" ht="11.25" customHeight="1" x14ac:dyDescent="0.25">
      <c r="A34" s="12">
        <v>1</v>
      </c>
      <c r="B34" s="12"/>
      <c r="C34" s="12"/>
      <c r="D34" s="12"/>
      <c r="E34" s="12"/>
      <c r="F34" s="12"/>
      <c r="G34" s="10">
        <v>2</v>
      </c>
      <c r="H34" s="10">
        <v>3</v>
      </c>
      <c r="I34" s="10">
        <v>4</v>
      </c>
      <c r="J34" s="10">
        <v>5</v>
      </c>
      <c r="K34" s="10">
        <v>6</v>
      </c>
      <c r="L34" s="10">
        <v>7</v>
      </c>
      <c r="M34" s="10">
        <v>8</v>
      </c>
      <c r="N34" s="10">
        <v>9</v>
      </c>
      <c r="O34" s="10">
        <v>10</v>
      </c>
      <c r="P34" s="10">
        <v>11</v>
      </c>
    </row>
    <row r="35" spans="1:16" ht="14.25" customHeight="1" x14ac:dyDescent="0.25">
      <c r="A35" s="28" t="s">
        <v>73</v>
      </c>
      <c r="B35" s="28"/>
      <c r="C35" s="28"/>
      <c r="D35" s="28"/>
      <c r="E35" s="28"/>
      <c r="F35" s="28"/>
      <c r="G35" s="9" t="s">
        <v>73</v>
      </c>
      <c r="H35" s="9" t="s">
        <v>73</v>
      </c>
      <c r="I35" s="9" t="s">
        <v>73</v>
      </c>
      <c r="J35" s="9" t="s">
        <v>73</v>
      </c>
      <c r="K35" s="9" t="s">
        <v>73</v>
      </c>
      <c r="L35" s="9" t="s">
        <v>73</v>
      </c>
      <c r="M35" s="9" t="s">
        <v>73</v>
      </c>
      <c r="N35" s="9" t="s">
        <v>73</v>
      </c>
      <c r="O35" s="9" t="s">
        <v>73</v>
      </c>
      <c r="P35" s="41" t="s">
        <v>73</v>
      </c>
    </row>
    <row r="37" spans="1:16" ht="14.25" customHeight="1" x14ac:dyDescent="0.25">
      <c r="A37" s="17" t="s">
        <v>34</v>
      </c>
      <c r="B37" s="23" t="s">
        <v>35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ht="14.25" customHeight="1" x14ac:dyDescent="0.25">
      <c r="P38" s="2" t="s">
        <v>16</v>
      </c>
    </row>
    <row r="39" spans="1:16" ht="45.75" customHeight="1" x14ac:dyDescent="0.25">
      <c r="A39" s="34" t="s">
        <v>25</v>
      </c>
      <c r="B39" s="34" t="s">
        <v>26</v>
      </c>
      <c r="C39" s="25" t="s">
        <v>36</v>
      </c>
      <c r="D39" s="25"/>
      <c r="E39" s="25"/>
      <c r="F39" s="25"/>
      <c r="G39" s="25"/>
      <c r="H39" s="34" t="s">
        <v>37</v>
      </c>
      <c r="I39" s="25" t="s">
        <v>38</v>
      </c>
      <c r="J39" s="25"/>
      <c r="K39" s="25" t="s">
        <v>28</v>
      </c>
      <c r="L39" s="25"/>
      <c r="M39" s="25" t="s">
        <v>39</v>
      </c>
      <c r="N39" s="25"/>
      <c r="O39" s="25" t="s">
        <v>22</v>
      </c>
      <c r="P39" s="25"/>
    </row>
    <row r="40" spans="1:16" s="36" customFormat="1" ht="14.25" customHeight="1" x14ac:dyDescent="0.25">
      <c r="A40" s="29">
        <v>1</v>
      </c>
      <c r="B40" s="29">
        <v>2</v>
      </c>
      <c r="C40" s="28">
        <v>3</v>
      </c>
      <c r="D40" s="28"/>
      <c r="E40" s="28"/>
      <c r="F40" s="28"/>
      <c r="G40" s="28"/>
      <c r="H40" s="29">
        <v>4</v>
      </c>
      <c r="I40" s="28">
        <v>5</v>
      </c>
      <c r="J40" s="28"/>
      <c r="K40" s="28">
        <v>6</v>
      </c>
      <c r="L40" s="28"/>
      <c r="M40" s="28">
        <v>7</v>
      </c>
      <c r="N40" s="28"/>
      <c r="O40" s="28">
        <v>8</v>
      </c>
      <c r="P40" s="28"/>
    </row>
    <row r="41" spans="1:16" s="36" customFormat="1" ht="14.25" customHeight="1" x14ac:dyDescent="0.25">
      <c r="A41" s="37"/>
      <c r="B41" s="37">
        <v>1011030</v>
      </c>
      <c r="C41" s="38" t="s">
        <v>118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</row>
    <row r="42" spans="1:16" s="36" customFormat="1" ht="14.25" customHeight="1" x14ac:dyDescent="0.25">
      <c r="A42" s="37">
        <v>1</v>
      </c>
      <c r="B42" s="37"/>
      <c r="C42" s="47" t="s">
        <v>56</v>
      </c>
      <c r="D42" s="47"/>
      <c r="E42" s="47"/>
      <c r="F42" s="47"/>
      <c r="G42" s="47"/>
      <c r="H42" s="29"/>
      <c r="I42" s="28"/>
      <c r="J42" s="28"/>
      <c r="K42" s="28"/>
      <c r="L42" s="28"/>
      <c r="M42" s="28"/>
      <c r="N42" s="28"/>
      <c r="O42" s="28"/>
      <c r="P42" s="28"/>
    </row>
    <row r="43" spans="1:16" s="36" customFormat="1" ht="75" customHeight="1" x14ac:dyDescent="0.25">
      <c r="A43" s="37"/>
      <c r="B43" s="37"/>
      <c r="C43" s="15" t="s">
        <v>83</v>
      </c>
      <c r="D43" s="15"/>
      <c r="E43" s="15"/>
      <c r="F43" s="15"/>
      <c r="G43" s="15"/>
      <c r="H43" s="29" t="s">
        <v>58</v>
      </c>
      <c r="I43" s="28" t="s">
        <v>297</v>
      </c>
      <c r="J43" s="28"/>
      <c r="K43" s="30">
        <f>E21</f>
        <v>615.96600000000001</v>
      </c>
      <c r="L43" s="28"/>
      <c r="M43" s="30">
        <f>K21</f>
        <v>579.40975000000003</v>
      </c>
      <c r="N43" s="28"/>
      <c r="O43" s="30">
        <f>M43-K43</f>
        <v>-36.556249999999977</v>
      </c>
      <c r="P43" s="28"/>
    </row>
    <row r="44" spans="1:16" s="36" customFormat="1" ht="42.75" customHeight="1" x14ac:dyDescent="0.25">
      <c r="A44" s="37"/>
      <c r="B44" s="37"/>
      <c r="C44" s="15" t="s">
        <v>119</v>
      </c>
      <c r="D44" s="15"/>
      <c r="E44" s="15"/>
      <c r="F44" s="15"/>
      <c r="G44" s="15"/>
      <c r="H44" s="29" t="s">
        <v>67</v>
      </c>
      <c r="I44" s="80" t="s">
        <v>89</v>
      </c>
      <c r="J44" s="81"/>
      <c r="K44" s="28">
        <v>1</v>
      </c>
      <c r="L44" s="28"/>
      <c r="M44" s="28">
        <v>1</v>
      </c>
      <c r="N44" s="28"/>
      <c r="O44" s="48">
        <f>M44-K44</f>
        <v>0</v>
      </c>
      <c r="P44" s="48"/>
    </row>
    <row r="45" spans="1:16" s="36" customFormat="1" ht="63" customHeight="1" x14ac:dyDescent="0.25">
      <c r="A45" s="37"/>
      <c r="B45" s="37"/>
      <c r="C45" s="15" t="s">
        <v>104</v>
      </c>
      <c r="D45" s="15"/>
      <c r="E45" s="15"/>
      <c r="F45" s="15"/>
      <c r="G45" s="15"/>
      <c r="H45" s="29" t="s">
        <v>67</v>
      </c>
      <c r="I45" s="28" t="s">
        <v>242</v>
      </c>
      <c r="J45" s="28"/>
      <c r="K45" s="28">
        <v>4</v>
      </c>
      <c r="L45" s="28"/>
      <c r="M45" s="28">
        <v>4</v>
      </c>
      <c r="N45" s="28"/>
      <c r="O45" s="48">
        <f>M45-K45</f>
        <v>0</v>
      </c>
      <c r="P45" s="48"/>
    </row>
    <row r="46" spans="1:16" s="36" customFormat="1" ht="57.75" customHeight="1" x14ac:dyDescent="0.25">
      <c r="A46" s="37"/>
      <c r="B46" s="37"/>
      <c r="C46" s="15" t="s">
        <v>86</v>
      </c>
      <c r="D46" s="15"/>
      <c r="E46" s="15"/>
      <c r="F46" s="15"/>
      <c r="G46" s="15"/>
      <c r="H46" s="29" t="s">
        <v>67</v>
      </c>
      <c r="I46" s="28" t="s">
        <v>281</v>
      </c>
      <c r="J46" s="28"/>
      <c r="K46" s="28">
        <v>5.58</v>
      </c>
      <c r="L46" s="28"/>
      <c r="M46" s="50">
        <v>5.58</v>
      </c>
      <c r="N46" s="50"/>
      <c r="O46" s="51">
        <f>M46-K46</f>
        <v>0</v>
      </c>
      <c r="P46" s="51"/>
    </row>
    <row r="47" spans="1:16" s="36" customFormat="1" ht="19.5" customHeight="1" x14ac:dyDescent="0.25">
      <c r="A47" s="37">
        <v>2</v>
      </c>
      <c r="B47" s="37"/>
      <c r="C47" s="47" t="s">
        <v>64</v>
      </c>
      <c r="D47" s="47"/>
      <c r="E47" s="47"/>
      <c r="F47" s="47"/>
      <c r="G47" s="47"/>
      <c r="H47" s="29"/>
      <c r="I47" s="28"/>
      <c r="J47" s="28"/>
      <c r="K47" s="28"/>
      <c r="L47" s="28"/>
      <c r="M47" s="28"/>
      <c r="N47" s="28"/>
      <c r="O47" s="28"/>
      <c r="P47" s="28"/>
    </row>
    <row r="48" spans="1:16" s="36" customFormat="1" ht="60.75" customHeight="1" x14ac:dyDescent="0.25">
      <c r="A48" s="37"/>
      <c r="B48" s="37"/>
      <c r="C48" s="15" t="s">
        <v>106</v>
      </c>
      <c r="D48" s="15"/>
      <c r="E48" s="15"/>
      <c r="F48" s="15"/>
      <c r="G48" s="15"/>
      <c r="H48" s="29" t="s">
        <v>67</v>
      </c>
      <c r="I48" s="28" t="s">
        <v>242</v>
      </c>
      <c r="J48" s="28"/>
      <c r="K48" s="28">
        <v>100</v>
      </c>
      <c r="L48" s="28"/>
      <c r="M48" s="49">
        <f>((2*K48)+100)/3</f>
        <v>100</v>
      </c>
      <c r="N48" s="49"/>
      <c r="O48" s="48">
        <f>M48-K48</f>
        <v>0</v>
      </c>
      <c r="P48" s="48"/>
    </row>
    <row r="49" spans="1:16" s="36" customFormat="1" ht="14.25" customHeight="1" x14ac:dyDescent="0.25">
      <c r="A49" s="37">
        <v>3</v>
      </c>
      <c r="B49" s="37"/>
      <c r="C49" s="47" t="s">
        <v>68</v>
      </c>
      <c r="D49" s="47"/>
      <c r="E49" s="47"/>
      <c r="F49" s="47"/>
      <c r="G49" s="47"/>
      <c r="H49" s="29"/>
      <c r="I49" s="28"/>
      <c r="J49" s="28"/>
      <c r="K49" s="28"/>
      <c r="L49" s="28"/>
      <c r="M49" s="28"/>
      <c r="N49" s="28"/>
      <c r="O49" s="28"/>
      <c r="P49" s="28"/>
    </row>
    <row r="50" spans="1:16" s="36" customFormat="1" ht="15.75" customHeight="1" x14ac:dyDescent="0.25">
      <c r="A50" s="37"/>
      <c r="B50" s="37"/>
      <c r="C50" s="15" t="s">
        <v>95</v>
      </c>
      <c r="D50" s="15"/>
      <c r="E50" s="15"/>
      <c r="F50" s="15"/>
      <c r="G50" s="15"/>
      <c r="H50" s="29" t="s">
        <v>97</v>
      </c>
      <c r="I50" s="28" t="s">
        <v>245</v>
      </c>
      <c r="J50" s="28"/>
      <c r="K50" s="28">
        <f>K48*140</f>
        <v>14000</v>
      </c>
      <c r="L50" s="28"/>
      <c r="M50" s="28">
        <f>M48*140</f>
        <v>14000</v>
      </c>
      <c r="N50" s="28"/>
      <c r="O50" s="48">
        <f>M50-K50</f>
        <v>0</v>
      </c>
      <c r="P50" s="48"/>
    </row>
    <row r="51" spans="1:16" s="36" customFormat="1" ht="14.25" customHeight="1" x14ac:dyDescent="0.25">
      <c r="A51" s="37"/>
      <c r="B51" s="37"/>
      <c r="C51" s="52" t="s">
        <v>120</v>
      </c>
      <c r="D51" s="53"/>
      <c r="E51" s="53"/>
      <c r="F51" s="53"/>
      <c r="G51" s="54"/>
      <c r="H51" s="29" t="s">
        <v>96</v>
      </c>
      <c r="I51" s="80" t="s">
        <v>72</v>
      </c>
      <c r="J51" s="81"/>
      <c r="K51" s="88">
        <f>K43/K48*1000</f>
        <v>6159.66</v>
      </c>
      <c r="L51" s="89"/>
      <c r="M51" s="88">
        <f>M43/M48*1000</f>
        <v>5794.0975000000008</v>
      </c>
      <c r="N51" s="89"/>
      <c r="O51" s="48">
        <f>M51-K51</f>
        <v>-365.56249999999909</v>
      </c>
      <c r="P51" s="48"/>
    </row>
    <row r="52" spans="1:16" s="36" customFormat="1" ht="17.25" customHeight="1" x14ac:dyDescent="0.25">
      <c r="A52" s="38" t="s">
        <v>233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/>
    </row>
    <row r="53" spans="1:16" s="36" customFormat="1" ht="15" customHeight="1" x14ac:dyDescent="0.25">
      <c r="A53" s="52" t="s">
        <v>258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  <row r="54" spans="1:16" s="36" customFormat="1" ht="14.25" customHeight="1" x14ac:dyDescent="0.25">
      <c r="A54" s="37">
        <v>4</v>
      </c>
      <c r="B54" s="37"/>
      <c r="C54" s="47" t="s">
        <v>74</v>
      </c>
      <c r="D54" s="47"/>
      <c r="E54" s="47"/>
      <c r="F54" s="47"/>
      <c r="G54" s="47"/>
      <c r="H54" s="29"/>
      <c r="I54" s="28"/>
      <c r="J54" s="28"/>
      <c r="K54" s="28"/>
      <c r="L54" s="28"/>
      <c r="M54" s="28"/>
      <c r="N54" s="28"/>
      <c r="O54" s="28"/>
      <c r="P54" s="28"/>
    </row>
    <row r="55" spans="1:16" s="36" customFormat="1" ht="15" customHeight="1" x14ac:dyDescent="0.25">
      <c r="A55" s="37"/>
      <c r="B55" s="37"/>
      <c r="C55" s="15" t="s">
        <v>99</v>
      </c>
      <c r="D55" s="15"/>
      <c r="E55" s="15"/>
      <c r="F55" s="15"/>
      <c r="G55" s="15"/>
      <c r="H55" s="29" t="s">
        <v>100</v>
      </c>
      <c r="I55" s="28" t="s">
        <v>72</v>
      </c>
      <c r="J55" s="28"/>
      <c r="K55" s="28">
        <f>K50/K48</f>
        <v>140</v>
      </c>
      <c r="L55" s="28"/>
      <c r="M55" s="28">
        <f>M50/M48</f>
        <v>140</v>
      </c>
      <c r="N55" s="28"/>
      <c r="O55" s="48">
        <f>M55-K55</f>
        <v>0</v>
      </c>
      <c r="P55" s="48"/>
    </row>
    <row r="56" spans="1:16" s="36" customFormat="1" ht="18.75" customHeight="1" x14ac:dyDescent="0.25">
      <c r="A56" s="47" t="s">
        <v>240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spans="1:16" s="36" customFormat="1" ht="33.75" customHeight="1" x14ac:dyDescent="0.25">
      <c r="A57" s="52" t="s">
        <v>259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  <row r="58" spans="1:16" s="82" customFormat="1" ht="14.25" customHeight="1" x14ac:dyDescent="0.25">
      <c r="H58" s="83"/>
    </row>
    <row r="59" spans="1:16" ht="14.25" customHeight="1" x14ac:dyDescent="0.25">
      <c r="A59" s="17" t="s">
        <v>40</v>
      </c>
      <c r="B59" s="23" t="s">
        <v>305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6" ht="14.25" customHeight="1" x14ac:dyDescent="0.25">
      <c r="P60" s="24" t="s">
        <v>16</v>
      </c>
    </row>
    <row r="61" spans="1:16" ht="14.25" customHeight="1" x14ac:dyDescent="0.25">
      <c r="A61" s="59" t="s">
        <v>41</v>
      </c>
      <c r="B61" s="60" t="s">
        <v>42</v>
      </c>
      <c r="C61" s="61"/>
      <c r="D61" s="59" t="s">
        <v>26</v>
      </c>
      <c r="E61" s="25" t="s">
        <v>43</v>
      </c>
      <c r="F61" s="25"/>
      <c r="G61" s="25"/>
      <c r="H61" s="25" t="s">
        <v>44</v>
      </c>
      <c r="I61" s="25"/>
      <c r="J61" s="25"/>
      <c r="K61" s="25" t="s">
        <v>45</v>
      </c>
      <c r="L61" s="25"/>
      <c r="M61" s="25"/>
      <c r="N61" s="25" t="s">
        <v>46</v>
      </c>
      <c r="O61" s="25"/>
      <c r="P61" s="25"/>
    </row>
    <row r="62" spans="1:16" ht="14.25" customHeight="1" x14ac:dyDescent="0.25">
      <c r="A62" s="62"/>
      <c r="B62" s="63"/>
      <c r="C62" s="64"/>
      <c r="D62" s="62"/>
      <c r="E62" s="34" t="s">
        <v>19</v>
      </c>
      <c r="F62" s="34" t="s">
        <v>20</v>
      </c>
      <c r="G62" s="34" t="s">
        <v>21</v>
      </c>
      <c r="H62" s="34" t="s">
        <v>19</v>
      </c>
      <c r="I62" s="34" t="s">
        <v>20</v>
      </c>
      <c r="J62" s="34" t="s">
        <v>21</v>
      </c>
      <c r="K62" s="34" t="s">
        <v>19</v>
      </c>
      <c r="L62" s="34" t="s">
        <v>20</v>
      </c>
      <c r="M62" s="34" t="s">
        <v>21</v>
      </c>
      <c r="N62" s="34" t="s">
        <v>19</v>
      </c>
      <c r="O62" s="34" t="s">
        <v>20</v>
      </c>
      <c r="P62" s="34" t="s">
        <v>21</v>
      </c>
    </row>
    <row r="63" spans="1:16" s="4" customFormat="1" ht="11.25" customHeight="1" x14ac:dyDescent="0.25">
      <c r="A63" s="10">
        <v>1</v>
      </c>
      <c r="B63" s="12">
        <v>2</v>
      </c>
      <c r="C63" s="12"/>
      <c r="D63" s="10">
        <v>3</v>
      </c>
      <c r="E63" s="10">
        <v>4</v>
      </c>
      <c r="F63" s="10">
        <v>5</v>
      </c>
      <c r="G63" s="10">
        <v>6</v>
      </c>
      <c r="H63" s="10">
        <v>7</v>
      </c>
      <c r="I63" s="10">
        <v>8</v>
      </c>
      <c r="J63" s="10">
        <v>9</v>
      </c>
      <c r="K63" s="10">
        <v>10</v>
      </c>
      <c r="L63" s="10">
        <v>11</v>
      </c>
      <c r="M63" s="10">
        <v>12</v>
      </c>
      <c r="N63" s="10">
        <v>13</v>
      </c>
      <c r="O63" s="10">
        <v>14</v>
      </c>
      <c r="P63" s="10">
        <v>15</v>
      </c>
    </row>
    <row r="64" spans="1:16" ht="14.25" customHeight="1" x14ac:dyDescent="0.25">
      <c r="A64" s="57"/>
      <c r="B64" s="67"/>
      <c r="C64" s="68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</row>
    <row r="66" spans="1:16" ht="14.25" customHeight="1" x14ac:dyDescent="0.25">
      <c r="A66" s="23" t="s">
        <v>306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14.25" customHeight="1" x14ac:dyDescent="0.25">
      <c r="A67" s="23" t="s">
        <v>307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1:16" ht="14.25" customHeight="1" x14ac:dyDescent="0.25">
      <c r="A68" s="23" t="s">
        <v>308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1:16" ht="14.25" customHeigh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</row>
    <row r="70" spans="1:16" ht="14.25" customHeigh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  <row r="71" spans="1:16" ht="14.25" customHeight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3" spans="1:16" ht="14.25" customHeight="1" x14ac:dyDescent="0.25">
      <c r="A73" s="65" t="s">
        <v>47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5" t="s">
        <v>48</v>
      </c>
      <c r="N73" s="66"/>
      <c r="O73" s="66"/>
    </row>
    <row r="74" spans="1:16" ht="14.25" customHeight="1" x14ac:dyDescent="0.25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5"/>
      <c r="N74" s="66"/>
      <c r="O74" s="66"/>
    </row>
    <row r="75" spans="1:16" ht="14.25" customHeight="1" x14ac:dyDescent="0.25">
      <c r="A75" s="65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5"/>
      <c r="N75" s="66"/>
      <c r="O75" s="66"/>
    </row>
    <row r="78" spans="1:16" ht="14.25" customHeight="1" x14ac:dyDescent="0.25">
      <c r="A78" s="65" t="str">
        <f>'1010'!A116</f>
        <v xml:space="preserve">Спеціаліст І категорії, бухгалтер управління освіти і науки 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 t="str">
        <f>'1010'!M116</f>
        <v>Ю.Філатова</v>
      </c>
    </row>
  </sheetData>
  <mergeCells count="144">
    <mergeCell ref="N61:P61"/>
    <mergeCell ref="B63:C63"/>
    <mergeCell ref="A66:P66"/>
    <mergeCell ref="A67:P67"/>
    <mergeCell ref="A68:P68"/>
    <mergeCell ref="C51:G51"/>
    <mergeCell ref="I51:J51"/>
    <mergeCell ref="K51:L51"/>
    <mergeCell ref="M51:N51"/>
    <mergeCell ref="O51:P51"/>
    <mergeCell ref="A61:A62"/>
    <mergeCell ref="B61:C62"/>
    <mergeCell ref="D61:D62"/>
    <mergeCell ref="E61:G61"/>
    <mergeCell ref="H61:J61"/>
    <mergeCell ref="K61:M61"/>
    <mergeCell ref="B59:P59"/>
    <mergeCell ref="C55:G55"/>
    <mergeCell ref="I55:J55"/>
    <mergeCell ref="K55:L55"/>
    <mergeCell ref="M55:N55"/>
    <mergeCell ref="O55:P55"/>
    <mergeCell ref="A56:P56"/>
    <mergeCell ref="A57:P57"/>
    <mergeCell ref="C50:G50"/>
    <mergeCell ref="I50:J50"/>
    <mergeCell ref="K50:L50"/>
    <mergeCell ref="M50:N50"/>
    <mergeCell ref="O50:P50"/>
    <mergeCell ref="C54:G54"/>
    <mergeCell ref="I54:J54"/>
    <mergeCell ref="K54:L54"/>
    <mergeCell ref="M54:N54"/>
    <mergeCell ref="O54:P54"/>
    <mergeCell ref="A52:P52"/>
    <mergeCell ref="A53:P53"/>
    <mergeCell ref="C48:G48"/>
    <mergeCell ref="I48:J48"/>
    <mergeCell ref="K48:L48"/>
    <mergeCell ref="M48:N48"/>
    <mergeCell ref="O48:P48"/>
    <mergeCell ref="C49:G49"/>
    <mergeCell ref="I49:J49"/>
    <mergeCell ref="K49:L49"/>
    <mergeCell ref="M49:N49"/>
    <mergeCell ref="O49:P49"/>
    <mergeCell ref="C47:G47"/>
    <mergeCell ref="I47:J47"/>
    <mergeCell ref="K47:L47"/>
    <mergeCell ref="M47:N47"/>
    <mergeCell ref="O47:P47"/>
    <mergeCell ref="C46:G46"/>
    <mergeCell ref="I46:J46"/>
    <mergeCell ref="K46:L46"/>
    <mergeCell ref="M46:N46"/>
    <mergeCell ref="O46:P46"/>
    <mergeCell ref="C44:G44"/>
    <mergeCell ref="I44:J44"/>
    <mergeCell ref="K44:L44"/>
    <mergeCell ref="M44:N44"/>
    <mergeCell ref="O44:P44"/>
    <mergeCell ref="C45:G45"/>
    <mergeCell ref="I45:J45"/>
    <mergeCell ref="K45:L45"/>
    <mergeCell ref="M45:N45"/>
    <mergeCell ref="O45:P45"/>
    <mergeCell ref="C42:G42"/>
    <mergeCell ref="I42:J42"/>
    <mergeCell ref="K42:L42"/>
    <mergeCell ref="M42:N42"/>
    <mergeCell ref="O42:P42"/>
    <mergeCell ref="C43:G43"/>
    <mergeCell ref="I43:J43"/>
    <mergeCell ref="K43:L43"/>
    <mergeCell ref="M43:N43"/>
    <mergeCell ref="O43:P43"/>
    <mergeCell ref="C40:G40"/>
    <mergeCell ref="I40:J40"/>
    <mergeCell ref="K40:L40"/>
    <mergeCell ref="M40:N40"/>
    <mergeCell ref="O40:P40"/>
    <mergeCell ref="C41:P41"/>
    <mergeCell ref="A34:F34"/>
    <mergeCell ref="A35:F35"/>
    <mergeCell ref="B37:P37"/>
    <mergeCell ref="C39:G39"/>
    <mergeCell ref="I39:J39"/>
    <mergeCell ref="K39:L39"/>
    <mergeCell ref="M39:N39"/>
    <mergeCell ref="O39:P39"/>
    <mergeCell ref="B30:P30"/>
    <mergeCell ref="A32:F33"/>
    <mergeCell ref="G32:I32"/>
    <mergeCell ref="J32:L32"/>
    <mergeCell ref="M32:O32"/>
    <mergeCell ref="P32:P33"/>
    <mergeCell ref="Q25:S25"/>
    <mergeCell ref="T25:V25"/>
    <mergeCell ref="D27:F27"/>
    <mergeCell ref="D28:F28"/>
    <mergeCell ref="E19:F19"/>
    <mergeCell ref="G19:H19"/>
    <mergeCell ref="I19:J19"/>
    <mergeCell ref="K19:L19"/>
    <mergeCell ref="M21:N21"/>
    <mergeCell ref="B23:P23"/>
    <mergeCell ref="A25:A26"/>
    <mergeCell ref="B25:B26"/>
    <mergeCell ref="C25:C26"/>
    <mergeCell ref="D25:F26"/>
    <mergeCell ref="G25:I25"/>
    <mergeCell ref="J25:L25"/>
    <mergeCell ref="M25:O25"/>
    <mergeCell ref="P25:P26"/>
    <mergeCell ref="A21:B21"/>
    <mergeCell ref="C21:D21"/>
    <mergeCell ref="E21:F21"/>
    <mergeCell ref="G21:H21"/>
    <mergeCell ref="I21:J21"/>
    <mergeCell ref="K21:L21"/>
    <mergeCell ref="B64:C64"/>
    <mergeCell ref="C13:P13"/>
    <mergeCell ref="D14:P14"/>
    <mergeCell ref="D15:P15"/>
    <mergeCell ref="B16:P16"/>
    <mergeCell ref="A18:F18"/>
    <mergeCell ref="G18:L18"/>
    <mergeCell ref="M18:P18"/>
    <mergeCell ref="A6:P6"/>
    <mergeCell ref="A7:P7"/>
    <mergeCell ref="A8:P8"/>
    <mergeCell ref="C10:P10"/>
    <mergeCell ref="C11:P11"/>
    <mergeCell ref="C12:P1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</mergeCells>
  <pageMargins left="0.19685039370078741" right="0.19685039370078741" top="0.39370078740157483" bottom="0.19685039370078741" header="0.11811023622047245" footer="0.11811023622047245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02"/>
  <sheetViews>
    <sheetView view="pageBreakPreview" topLeftCell="A66" zoomScale="70" zoomScaleSheetLayoutView="70" workbookViewId="0">
      <selection activeCell="M103" sqref="M103"/>
    </sheetView>
  </sheetViews>
  <sheetFormatPr defaultRowHeight="15" x14ac:dyDescent="0.25"/>
  <cols>
    <col min="1" max="1" width="5" style="17" customWidth="1"/>
    <col min="2" max="2" width="10.28515625" style="17" customWidth="1"/>
    <col min="3" max="3" width="9.140625" style="17" customWidth="1"/>
    <col min="4" max="4" width="7.140625" style="17" customWidth="1"/>
    <col min="5" max="5" width="7.85546875" style="17" customWidth="1"/>
    <col min="6" max="6" width="8.85546875" style="17" customWidth="1"/>
    <col min="7" max="8" width="14.42578125" style="17" customWidth="1"/>
    <col min="9" max="9" width="24.42578125" style="17" customWidth="1"/>
    <col min="10" max="10" width="21.7109375" style="17" customWidth="1"/>
    <col min="11" max="11" width="19.28515625" style="17" customWidth="1"/>
    <col min="12" max="12" width="18.42578125" style="17" customWidth="1"/>
    <col min="13" max="13" width="14.5703125" style="17" customWidth="1"/>
    <col min="14" max="14" width="13.28515625" style="17" customWidth="1"/>
    <col min="15" max="15" width="18" style="17" customWidth="1"/>
    <col min="16" max="16" width="38" style="17" customWidth="1"/>
    <col min="17" max="16384" width="9.140625" style="17"/>
  </cols>
  <sheetData>
    <row r="1" spans="1:16" ht="14.25" customHeight="1" x14ac:dyDescent="0.25">
      <c r="P1" s="5" t="s">
        <v>0</v>
      </c>
    </row>
    <row r="2" spans="1:16" ht="13.5" customHeight="1" x14ac:dyDescent="0.25">
      <c r="P2" s="5" t="s">
        <v>1</v>
      </c>
    </row>
    <row r="3" spans="1:16" ht="12.75" customHeight="1" x14ac:dyDescent="0.25">
      <c r="P3" s="5" t="s">
        <v>2</v>
      </c>
    </row>
    <row r="6" spans="1:16" ht="15.75" customHeight="1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5.75" customHeight="1" x14ac:dyDescent="0.25">
      <c r="A7" s="18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5.75" customHeight="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1.25" customHeight="1" x14ac:dyDescent="0.25"/>
    <row r="10" spans="1:16" ht="16.5" customHeight="1" x14ac:dyDescent="0.25">
      <c r="A10" s="19" t="s">
        <v>6</v>
      </c>
      <c r="B10" s="20">
        <v>1000000</v>
      </c>
      <c r="C10" s="21" t="s">
        <v>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2.75" customHeight="1" x14ac:dyDescent="0.25">
      <c r="B11" s="1" t="s">
        <v>7</v>
      </c>
      <c r="C11" s="13" t="s">
        <v>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5.75" customHeight="1" x14ac:dyDescent="0.25">
      <c r="A12" s="19" t="s">
        <v>9</v>
      </c>
      <c r="B12" s="20">
        <v>1010000</v>
      </c>
      <c r="C12" s="21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9.75" customHeight="1" x14ac:dyDescent="0.25">
      <c r="B13" s="1" t="s">
        <v>7</v>
      </c>
      <c r="C13" s="13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6.5" customHeight="1" x14ac:dyDescent="0.25">
      <c r="A14" s="19" t="s">
        <v>11</v>
      </c>
      <c r="B14" s="20">
        <v>1011040</v>
      </c>
      <c r="C14" s="22" t="s">
        <v>121</v>
      </c>
      <c r="D14" s="21" t="s">
        <v>122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1.25" customHeight="1" x14ac:dyDescent="0.25">
      <c r="B15" s="1" t="s">
        <v>7</v>
      </c>
      <c r="C15" s="1" t="s">
        <v>12</v>
      </c>
      <c r="D15" s="14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6.5" customHeight="1" x14ac:dyDescent="0.25">
      <c r="A16" s="19" t="s">
        <v>14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22" ht="10.5" customHeight="1" x14ac:dyDescent="0.25">
      <c r="P17" s="2" t="s">
        <v>16</v>
      </c>
    </row>
    <row r="18" spans="1:22" ht="16.5" customHeight="1" x14ac:dyDescent="0.25">
      <c r="A18" s="25" t="s">
        <v>17</v>
      </c>
      <c r="B18" s="25"/>
      <c r="C18" s="25"/>
      <c r="D18" s="25"/>
      <c r="E18" s="25"/>
      <c r="F18" s="25"/>
      <c r="G18" s="25" t="s">
        <v>18</v>
      </c>
      <c r="H18" s="25"/>
      <c r="I18" s="25"/>
      <c r="J18" s="25"/>
      <c r="K18" s="25"/>
      <c r="L18" s="25"/>
      <c r="M18" s="25" t="s">
        <v>22</v>
      </c>
      <c r="N18" s="25"/>
      <c r="O18" s="25"/>
      <c r="P18" s="25"/>
    </row>
    <row r="19" spans="1:22" ht="18" customHeight="1" x14ac:dyDescent="0.25">
      <c r="A19" s="91" t="s">
        <v>19</v>
      </c>
      <c r="B19" s="91"/>
      <c r="C19" s="91" t="s">
        <v>20</v>
      </c>
      <c r="D19" s="91"/>
      <c r="E19" s="91" t="s">
        <v>21</v>
      </c>
      <c r="F19" s="91"/>
      <c r="G19" s="91" t="s">
        <v>19</v>
      </c>
      <c r="H19" s="91"/>
      <c r="I19" s="91" t="s">
        <v>20</v>
      </c>
      <c r="J19" s="91"/>
      <c r="K19" s="91" t="s">
        <v>21</v>
      </c>
      <c r="L19" s="91"/>
      <c r="M19" s="91" t="s">
        <v>19</v>
      </c>
      <c r="N19" s="91"/>
      <c r="O19" s="92" t="s">
        <v>20</v>
      </c>
      <c r="P19" s="92" t="s">
        <v>21</v>
      </c>
    </row>
    <row r="20" spans="1:22" s="3" customFormat="1" ht="9" customHeight="1" x14ac:dyDescent="0.2">
      <c r="A20" s="12">
        <v>1</v>
      </c>
      <c r="B20" s="12"/>
      <c r="C20" s="12">
        <v>2</v>
      </c>
      <c r="D20" s="12"/>
      <c r="E20" s="12">
        <v>3</v>
      </c>
      <c r="F20" s="12"/>
      <c r="G20" s="12">
        <v>4</v>
      </c>
      <c r="H20" s="12"/>
      <c r="I20" s="12">
        <v>5</v>
      </c>
      <c r="J20" s="12"/>
      <c r="K20" s="12">
        <v>6</v>
      </c>
      <c r="L20" s="12"/>
      <c r="M20" s="12">
        <v>7</v>
      </c>
      <c r="N20" s="12"/>
      <c r="O20" s="10">
        <v>8</v>
      </c>
      <c r="P20" s="10">
        <v>9</v>
      </c>
    </row>
    <row r="21" spans="1:22" ht="16.5" customHeight="1" x14ac:dyDescent="0.25">
      <c r="A21" s="30">
        <f>45314784/1000</f>
        <v>45314.784</v>
      </c>
      <c r="B21" s="30"/>
      <c r="C21" s="30">
        <f>703301/1000</f>
        <v>703.30100000000004</v>
      </c>
      <c r="D21" s="30"/>
      <c r="E21" s="30">
        <f>A21+C21</f>
        <v>46018.084999999999</v>
      </c>
      <c r="F21" s="30"/>
      <c r="G21" s="30">
        <f>44411008.98/1000</f>
        <v>44411.008979999999</v>
      </c>
      <c r="H21" s="30"/>
      <c r="I21" s="30">
        <f>674216.05/1000</f>
        <v>674.21605</v>
      </c>
      <c r="J21" s="30"/>
      <c r="K21" s="30">
        <f>G21+I21</f>
        <v>45085.225030000001</v>
      </c>
      <c r="L21" s="30"/>
      <c r="M21" s="30">
        <f>G21-A21</f>
        <v>-903.77502000000095</v>
      </c>
      <c r="N21" s="30"/>
      <c r="O21" s="9">
        <f>I21-C21</f>
        <v>-29.084950000000049</v>
      </c>
      <c r="P21" s="31">
        <f>M21+O21</f>
        <v>-932.859970000001</v>
      </c>
    </row>
    <row r="22" spans="1:22" ht="9.75" customHeight="1" x14ac:dyDescent="0.25"/>
    <row r="23" spans="1:22" x14ac:dyDescent="0.25">
      <c r="A23" s="19" t="s">
        <v>23</v>
      </c>
      <c r="B23" s="23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22" ht="11.25" customHeight="1" x14ac:dyDescent="0.25">
      <c r="P24" s="2" t="s">
        <v>16</v>
      </c>
    </row>
    <row r="25" spans="1:22" ht="30.75" customHeight="1" x14ac:dyDescent="0.25">
      <c r="A25" s="25" t="s">
        <v>25</v>
      </c>
      <c r="B25" s="25" t="s">
        <v>26</v>
      </c>
      <c r="C25" s="25" t="s">
        <v>27</v>
      </c>
      <c r="D25" s="25" t="s">
        <v>298</v>
      </c>
      <c r="E25" s="25"/>
      <c r="F25" s="25"/>
      <c r="G25" s="25" t="s">
        <v>28</v>
      </c>
      <c r="H25" s="25"/>
      <c r="I25" s="25"/>
      <c r="J25" s="25" t="s">
        <v>29</v>
      </c>
      <c r="K25" s="25"/>
      <c r="L25" s="25"/>
      <c r="M25" s="25" t="s">
        <v>22</v>
      </c>
      <c r="N25" s="25"/>
      <c r="O25" s="25"/>
      <c r="P25" s="32" t="s">
        <v>30</v>
      </c>
      <c r="Q25" s="33"/>
      <c r="R25" s="33"/>
      <c r="S25" s="33"/>
      <c r="T25" s="33"/>
      <c r="U25" s="33"/>
      <c r="V25" s="33"/>
    </row>
    <row r="26" spans="1:22" ht="30.75" customHeight="1" x14ac:dyDescent="0.25">
      <c r="A26" s="25"/>
      <c r="B26" s="25"/>
      <c r="C26" s="25"/>
      <c r="D26" s="25"/>
      <c r="E26" s="25"/>
      <c r="F26" s="25"/>
      <c r="G26" s="34" t="s">
        <v>19</v>
      </c>
      <c r="H26" s="34" t="s">
        <v>20</v>
      </c>
      <c r="I26" s="34" t="s">
        <v>21</v>
      </c>
      <c r="J26" s="34" t="s">
        <v>19</v>
      </c>
      <c r="K26" s="34" t="s">
        <v>20</v>
      </c>
      <c r="L26" s="34" t="s">
        <v>21</v>
      </c>
      <c r="M26" s="34" t="s">
        <v>19</v>
      </c>
      <c r="N26" s="34" t="s">
        <v>20</v>
      </c>
      <c r="O26" s="34" t="s">
        <v>21</v>
      </c>
      <c r="P26" s="32"/>
    </row>
    <row r="27" spans="1:22" s="4" customFormat="1" ht="10.5" x14ac:dyDescent="0.25">
      <c r="A27" s="10">
        <v>1</v>
      </c>
      <c r="B27" s="10">
        <v>2</v>
      </c>
      <c r="C27" s="10">
        <v>3</v>
      </c>
      <c r="D27" s="12">
        <v>4</v>
      </c>
      <c r="E27" s="12"/>
      <c r="F27" s="12"/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1">
        <v>14</v>
      </c>
    </row>
    <row r="28" spans="1:22" s="73" customFormat="1" ht="99" customHeight="1" x14ac:dyDescent="0.25">
      <c r="A28" s="37"/>
      <c r="B28" s="37">
        <v>1011040</v>
      </c>
      <c r="C28" s="43" t="s">
        <v>121</v>
      </c>
      <c r="D28" s="38" t="s">
        <v>122</v>
      </c>
      <c r="E28" s="39"/>
      <c r="F28" s="40"/>
      <c r="G28" s="41">
        <f>G29+G30</f>
        <v>45314.784</v>
      </c>
      <c r="H28" s="41">
        <f>H29+H30</f>
        <v>703.30100000000004</v>
      </c>
      <c r="I28" s="41">
        <f>G28+H28</f>
        <v>46018.084999999999</v>
      </c>
      <c r="J28" s="41">
        <f>J29+J30</f>
        <v>44414.138490000005</v>
      </c>
      <c r="K28" s="41">
        <f>K29+K30</f>
        <v>674.21605</v>
      </c>
      <c r="L28" s="41">
        <f>J28+K28</f>
        <v>45088.354540000008</v>
      </c>
      <c r="M28" s="41">
        <f>M29+M30</f>
        <v>-900.64550999999483</v>
      </c>
      <c r="N28" s="41">
        <f>N29+N30</f>
        <v>-29.084950000000021</v>
      </c>
      <c r="O28" s="41">
        <f>M28+N28</f>
        <v>-929.73045999999488</v>
      </c>
      <c r="P28" s="42"/>
    </row>
    <row r="29" spans="1:22" ht="103.5" customHeight="1" x14ac:dyDescent="0.25">
      <c r="A29" s="29">
        <v>1</v>
      </c>
      <c r="B29" s="29">
        <v>1011040</v>
      </c>
      <c r="C29" s="74" t="s">
        <v>121</v>
      </c>
      <c r="D29" s="47" t="s">
        <v>320</v>
      </c>
      <c r="E29" s="15"/>
      <c r="F29" s="15"/>
      <c r="G29" s="9">
        <f>45314784/1000</f>
        <v>45314.784</v>
      </c>
      <c r="H29" s="9">
        <f>240532/1000</f>
        <v>240.53200000000001</v>
      </c>
      <c r="I29" s="9">
        <f>G29+H29</f>
        <v>45555.315999999999</v>
      </c>
      <c r="J29" s="9">
        <f>44414138.49/1000</f>
        <v>44414.138490000005</v>
      </c>
      <c r="K29" s="9">
        <f>286460.22/1000</f>
        <v>286.46021999999999</v>
      </c>
      <c r="L29" s="9">
        <f>J29+K29</f>
        <v>44700.598710000006</v>
      </c>
      <c r="M29" s="9">
        <f>J29-G29</f>
        <v>-900.64550999999483</v>
      </c>
      <c r="N29" s="9">
        <f>K29-H29</f>
        <v>45.928219999999982</v>
      </c>
      <c r="O29" s="9">
        <f>M29+N29</f>
        <v>-854.71728999999482</v>
      </c>
      <c r="P29" s="44" t="s">
        <v>321</v>
      </c>
    </row>
    <row r="30" spans="1:22" ht="103.5" customHeight="1" x14ac:dyDescent="0.25">
      <c r="A30" s="29">
        <v>2</v>
      </c>
      <c r="B30" s="29">
        <v>1011040</v>
      </c>
      <c r="C30" s="74" t="s">
        <v>121</v>
      </c>
      <c r="D30" s="47" t="s">
        <v>322</v>
      </c>
      <c r="E30" s="15"/>
      <c r="F30" s="15"/>
      <c r="G30" s="9">
        <v>0</v>
      </c>
      <c r="H30" s="9">
        <f>462769/1000</f>
        <v>462.76900000000001</v>
      </c>
      <c r="I30" s="9">
        <f>G30+H30</f>
        <v>462.76900000000001</v>
      </c>
      <c r="J30" s="9">
        <v>0</v>
      </c>
      <c r="K30" s="9">
        <f>387755.83/1000</f>
        <v>387.75583</v>
      </c>
      <c r="L30" s="9">
        <f>J30+K30</f>
        <v>387.75583</v>
      </c>
      <c r="M30" s="9">
        <f>J30-G30</f>
        <v>0</v>
      </c>
      <c r="N30" s="9">
        <f>K30-H30</f>
        <v>-75.013170000000002</v>
      </c>
      <c r="O30" s="9">
        <f>M30+N30</f>
        <v>-75.013170000000002</v>
      </c>
      <c r="P30" s="44" t="s">
        <v>323</v>
      </c>
    </row>
    <row r="31" spans="1:22" ht="8.25" customHeight="1" x14ac:dyDescent="0.25">
      <c r="D31" s="46"/>
      <c r="E31" s="46"/>
      <c r="F31" s="46"/>
    </row>
    <row r="32" spans="1:22" x14ac:dyDescent="0.25">
      <c r="A32" s="17" t="s">
        <v>31</v>
      </c>
      <c r="B32" s="23" t="s">
        <v>32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11.25" customHeight="1" x14ac:dyDescent="0.25">
      <c r="P33" s="2" t="s">
        <v>16</v>
      </c>
    </row>
    <row r="34" spans="1:16" ht="28.5" customHeight="1" x14ac:dyDescent="0.25">
      <c r="A34" s="25" t="s">
        <v>33</v>
      </c>
      <c r="B34" s="25"/>
      <c r="C34" s="25"/>
      <c r="D34" s="25"/>
      <c r="E34" s="25"/>
      <c r="F34" s="25"/>
      <c r="G34" s="25" t="s">
        <v>28</v>
      </c>
      <c r="H34" s="25"/>
      <c r="I34" s="25"/>
      <c r="J34" s="25" t="s">
        <v>29</v>
      </c>
      <c r="K34" s="25"/>
      <c r="L34" s="25"/>
      <c r="M34" s="25" t="s">
        <v>22</v>
      </c>
      <c r="N34" s="25"/>
      <c r="O34" s="25"/>
      <c r="P34" s="25" t="s">
        <v>30</v>
      </c>
    </row>
    <row r="35" spans="1:16" ht="25.5" customHeight="1" x14ac:dyDescent="0.25">
      <c r="A35" s="25"/>
      <c r="B35" s="25"/>
      <c r="C35" s="25"/>
      <c r="D35" s="25"/>
      <c r="E35" s="25"/>
      <c r="F35" s="25"/>
      <c r="G35" s="34" t="s">
        <v>19</v>
      </c>
      <c r="H35" s="34" t="s">
        <v>20</v>
      </c>
      <c r="I35" s="34" t="s">
        <v>21</v>
      </c>
      <c r="J35" s="34" t="s">
        <v>19</v>
      </c>
      <c r="K35" s="34" t="s">
        <v>20</v>
      </c>
      <c r="L35" s="34" t="s">
        <v>21</v>
      </c>
      <c r="M35" s="34" t="s">
        <v>19</v>
      </c>
      <c r="N35" s="34" t="s">
        <v>20</v>
      </c>
      <c r="O35" s="34" t="s">
        <v>21</v>
      </c>
      <c r="P35" s="25"/>
    </row>
    <row r="36" spans="1:16" s="4" customFormat="1" ht="10.5" x14ac:dyDescent="0.25">
      <c r="A36" s="12">
        <v>1</v>
      </c>
      <c r="B36" s="12"/>
      <c r="C36" s="12"/>
      <c r="D36" s="12"/>
      <c r="E36" s="12"/>
      <c r="F36" s="12"/>
      <c r="G36" s="10">
        <v>2</v>
      </c>
      <c r="H36" s="10">
        <v>3</v>
      </c>
      <c r="I36" s="10">
        <v>4</v>
      </c>
      <c r="J36" s="10">
        <v>5</v>
      </c>
      <c r="K36" s="10">
        <v>6</v>
      </c>
      <c r="L36" s="10">
        <v>7</v>
      </c>
      <c r="M36" s="10">
        <v>8</v>
      </c>
      <c r="N36" s="10">
        <v>9</v>
      </c>
      <c r="O36" s="10">
        <v>10</v>
      </c>
      <c r="P36" s="10">
        <v>11</v>
      </c>
    </row>
    <row r="37" spans="1:16" ht="138" customHeight="1" x14ac:dyDescent="0.25">
      <c r="A37" s="15" t="s">
        <v>54</v>
      </c>
      <c r="B37" s="15"/>
      <c r="C37" s="15"/>
      <c r="D37" s="15"/>
      <c r="E37" s="15"/>
      <c r="F37" s="15"/>
      <c r="G37" s="9">
        <f>450904/1000</f>
        <v>450.904</v>
      </c>
      <c r="H37" s="9">
        <f>437769/1000</f>
        <v>437.76900000000001</v>
      </c>
      <c r="I37" s="9">
        <f>G37+H37</f>
        <v>888.673</v>
      </c>
      <c r="J37" s="9">
        <f>395751/1000</f>
        <v>395.75099999999998</v>
      </c>
      <c r="K37" s="9">
        <f>360159.83/1000</f>
        <v>360.15983</v>
      </c>
      <c r="L37" s="9">
        <f>J37+K37</f>
        <v>755.91083000000003</v>
      </c>
      <c r="M37" s="9">
        <f>G37-J37</f>
        <v>55.15300000000002</v>
      </c>
      <c r="N37" s="9">
        <f>H37-K37</f>
        <v>77.609170000000006</v>
      </c>
      <c r="O37" s="9">
        <f>M37+N37</f>
        <v>132.76217000000003</v>
      </c>
      <c r="P37" s="6" t="s">
        <v>324</v>
      </c>
    </row>
    <row r="38" spans="1:16" ht="42" customHeight="1" x14ac:dyDescent="0.25">
      <c r="A38" s="15" t="s">
        <v>55</v>
      </c>
      <c r="B38" s="15"/>
      <c r="C38" s="15"/>
      <c r="D38" s="15"/>
      <c r="E38" s="15"/>
      <c r="F38" s="15"/>
      <c r="G38" s="9">
        <f>278034/1000</f>
        <v>278.03399999999999</v>
      </c>
      <c r="H38" s="9">
        <v>0</v>
      </c>
      <c r="I38" s="9">
        <f>G38+H38</f>
        <v>278.03399999999999</v>
      </c>
      <c r="J38" s="9">
        <f>260404.8/1000</f>
        <v>260.40479999999997</v>
      </c>
      <c r="K38" s="9">
        <v>0</v>
      </c>
      <c r="L38" s="9">
        <f>J38+K38</f>
        <v>260.40479999999997</v>
      </c>
      <c r="M38" s="9">
        <f>G38-J38</f>
        <v>17.629200000000026</v>
      </c>
      <c r="N38" s="9">
        <f>H38-K38</f>
        <v>0</v>
      </c>
      <c r="O38" s="9">
        <f>M38+N38</f>
        <v>17.629200000000026</v>
      </c>
      <c r="P38" s="6" t="s">
        <v>260</v>
      </c>
    </row>
    <row r="39" spans="1:16" ht="21.75" customHeight="1" x14ac:dyDescent="0.25"/>
    <row r="40" spans="1:16" x14ac:dyDescent="0.25">
      <c r="A40" s="17" t="s">
        <v>34</v>
      </c>
      <c r="B40" s="23" t="s">
        <v>35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11.25" customHeight="1" x14ac:dyDescent="0.25">
      <c r="P41" s="2" t="s">
        <v>16</v>
      </c>
    </row>
    <row r="42" spans="1:16" ht="43.5" customHeight="1" x14ac:dyDescent="0.25">
      <c r="A42" s="34" t="s">
        <v>25</v>
      </c>
      <c r="B42" s="34" t="s">
        <v>26</v>
      </c>
      <c r="C42" s="25" t="s">
        <v>36</v>
      </c>
      <c r="D42" s="25"/>
      <c r="E42" s="25"/>
      <c r="F42" s="25"/>
      <c r="G42" s="25"/>
      <c r="H42" s="34" t="s">
        <v>37</v>
      </c>
      <c r="I42" s="25" t="s">
        <v>38</v>
      </c>
      <c r="J42" s="25"/>
      <c r="K42" s="25" t="s">
        <v>28</v>
      </c>
      <c r="L42" s="25"/>
      <c r="M42" s="25" t="s">
        <v>39</v>
      </c>
      <c r="N42" s="25"/>
      <c r="O42" s="25" t="s">
        <v>22</v>
      </c>
      <c r="P42" s="25"/>
    </row>
    <row r="43" spans="1:16" s="4" customFormat="1" ht="8.25" customHeight="1" x14ac:dyDescent="0.25">
      <c r="A43" s="10">
        <v>1</v>
      </c>
      <c r="B43" s="10">
        <v>2</v>
      </c>
      <c r="C43" s="12">
        <v>3</v>
      </c>
      <c r="D43" s="12"/>
      <c r="E43" s="12"/>
      <c r="F43" s="12"/>
      <c r="G43" s="12"/>
      <c r="H43" s="10">
        <v>4</v>
      </c>
      <c r="I43" s="12">
        <v>5</v>
      </c>
      <c r="J43" s="12"/>
      <c r="K43" s="12">
        <v>6</v>
      </c>
      <c r="L43" s="12"/>
      <c r="M43" s="12">
        <v>7</v>
      </c>
      <c r="N43" s="12"/>
      <c r="O43" s="12">
        <v>8</v>
      </c>
      <c r="P43" s="12"/>
    </row>
    <row r="44" spans="1:16" s="36" customFormat="1" ht="16.5" customHeight="1" x14ac:dyDescent="0.25">
      <c r="A44" s="37"/>
      <c r="B44" s="37">
        <v>1011040</v>
      </c>
      <c r="C44" s="38" t="s">
        <v>123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0"/>
    </row>
    <row r="45" spans="1:16" s="36" customFormat="1" ht="16.5" customHeight="1" x14ac:dyDescent="0.25">
      <c r="A45" s="37">
        <v>1</v>
      </c>
      <c r="B45" s="37"/>
      <c r="C45" s="47" t="s">
        <v>56</v>
      </c>
      <c r="D45" s="47"/>
      <c r="E45" s="47"/>
      <c r="F45" s="47"/>
      <c r="G45" s="47"/>
      <c r="H45" s="29"/>
      <c r="I45" s="28"/>
      <c r="J45" s="28"/>
      <c r="K45" s="28"/>
      <c r="L45" s="28"/>
      <c r="M45" s="28"/>
      <c r="N45" s="28"/>
      <c r="O45" s="28"/>
      <c r="P45" s="28"/>
    </row>
    <row r="46" spans="1:16" s="36" customFormat="1" ht="73.5" customHeight="1" x14ac:dyDescent="0.25">
      <c r="A46" s="37"/>
      <c r="B46" s="37"/>
      <c r="C46" s="15" t="s">
        <v>83</v>
      </c>
      <c r="D46" s="15"/>
      <c r="E46" s="15"/>
      <c r="F46" s="15"/>
      <c r="G46" s="15"/>
      <c r="H46" s="29" t="s">
        <v>58</v>
      </c>
      <c r="I46" s="28" t="s">
        <v>297</v>
      </c>
      <c r="J46" s="28"/>
      <c r="K46" s="30">
        <f>I29</f>
        <v>45555.315999999999</v>
      </c>
      <c r="L46" s="28"/>
      <c r="M46" s="30">
        <f>L29</f>
        <v>44700.598710000006</v>
      </c>
      <c r="N46" s="28"/>
      <c r="O46" s="30">
        <f t="shared" ref="O46:O51" si="0">M46-K46</f>
        <v>-854.71728999999323</v>
      </c>
      <c r="P46" s="28"/>
    </row>
    <row r="47" spans="1:16" s="36" customFormat="1" ht="43.5" customHeight="1" x14ac:dyDescent="0.25">
      <c r="A47" s="37"/>
      <c r="B47" s="37"/>
      <c r="C47" s="15" t="s">
        <v>125</v>
      </c>
      <c r="D47" s="15"/>
      <c r="E47" s="15"/>
      <c r="F47" s="15"/>
      <c r="G47" s="15"/>
      <c r="H47" s="29" t="s">
        <v>67</v>
      </c>
      <c r="I47" s="28" t="s">
        <v>89</v>
      </c>
      <c r="J47" s="28"/>
      <c r="K47" s="28">
        <v>3</v>
      </c>
      <c r="L47" s="28"/>
      <c r="M47" s="28">
        <v>3</v>
      </c>
      <c r="N47" s="28"/>
      <c r="O47" s="48">
        <f t="shared" si="0"/>
        <v>0</v>
      </c>
      <c r="P47" s="48"/>
    </row>
    <row r="48" spans="1:16" s="36" customFormat="1" ht="58.5" customHeight="1" x14ac:dyDescent="0.25">
      <c r="A48" s="37"/>
      <c r="B48" s="37"/>
      <c r="C48" s="15" t="s">
        <v>104</v>
      </c>
      <c r="D48" s="15"/>
      <c r="E48" s="15"/>
      <c r="F48" s="15"/>
      <c r="G48" s="15"/>
      <c r="H48" s="29" t="s">
        <v>67</v>
      </c>
      <c r="I48" s="28" t="s">
        <v>242</v>
      </c>
      <c r="J48" s="28"/>
      <c r="K48" s="28">
        <v>58</v>
      </c>
      <c r="L48" s="28"/>
      <c r="M48" s="49">
        <v>58</v>
      </c>
      <c r="N48" s="49"/>
      <c r="O48" s="48">
        <f t="shared" si="0"/>
        <v>0</v>
      </c>
      <c r="P48" s="48"/>
    </row>
    <row r="49" spans="1:16" s="36" customFormat="1" ht="57" customHeight="1" x14ac:dyDescent="0.25">
      <c r="A49" s="37"/>
      <c r="B49" s="37"/>
      <c r="C49" s="15" t="s">
        <v>86</v>
      </c>
      <c r="D49" s="15"/>
      <c r="E49" s="15"/>
      <c r="F49" s="15"/>
      <c r="G49" s="15"/>
      <c r="H49" s="29" t="s">
        <v>67</v>
      </c>
      <c r="I49" s="28" t="s">
        <v>281</v>
      </c>
      <c r="J49" s="28"/>
      <c r="K49" s="28">
        <v>241.87</v>
      </c>
      <c r="L49" s="28"/>
      <c r="M49" s="50">
        <v>240.96</v>
      </c>
      <c r="N49" s="50"/>
      <c r="O49" s="51">
        <f t="shared" si="0"/>
        <v>-0.90999999999999659</v>
      </c>
      <c r="P49" s="51"/>
    </row>
    <row r="50" spans="1:16" s="36" customFormat="1" ht="56.25" customHeight="1" x14ac:dyDescent="0.25">
      <c r="A50" s="37"/>
      <c r="B50" s="37"/>
      <c r="C50" s="15" t="s">
        <v>87</v>
      </c>
      <c r="D50" s="15"/>
      <c r="E50" s="15"/>
      <c r="F50" s="15"/>
      <c r="G50" s="15"/>
      <c r="H50" s="29" t="s">
        <v>67</v>
      </c>
      <c r="I50" s="28" t="s">
        <v>281</v>
      </c>
      <c r="J50" s="28"/>
      <c r="K50" s="28">
        <v>218.26</v>
      </c>
      <c r="L50" s="28"/>
      <c r="M50" s="50">
        <v>218.26</v>
      </c>
      <c r="N50" s="50"/>
      <c r="O50" s="51">
        <f t="shared" si="0"/>
        <v>0</v>
      </c>
      <c r="P50" s="51"/>
    </row>
    <row r="51" spans="1:16" s="36" customFormat="1" ht="55.5" customHeight="1" x14ac:dyDescent="0.25">
      <c r="A51" s="37"/>
      <c r="B51" s="37"/>
      <c r="C51" s="15" t="s">
        <v>88</v>
      </c>
      <c r="D51" s="15"/>
      <c r="E51" s="15"/>
      <c r="F51" s="15"/>
      <c r="G51" s="15"/>
      <c r="H51" s="29" t="s">
        <v>67</v>
      </c>
      <c r="I51" s="28" t="s">
        <v>281</v>
      </c>
      <c r="J51" s="28"/>
      <c r="K51" s="28">
        <f>K50+K49</f>
        <v>460.13</v>
      </c>
      <c r="L51" s="28"/>
      <c r="M51" s="50">
        <f>M49+M50</f>
        <v>459.22</v>
      </c>
      <c r="N51" s="28"/>
      <c r="O51" s="51">
        <f t="shared" si="0"/>
        <v>-0.90999999999996817</v>
      </c>
      <c r="P51" s="51"/>
    </row>
    <row r="52" spans="1:16" s="36" customFormat="1" ht="17.25" customHeight="1" x14ac:dyDescent="0.25">
      <c r="A52" s="38" t="s">
        <v>233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/>
    </row>
    <row r="53" spans="1:16" s="36" customFormat="1" ht="18.75" customHeight="1" x14ac:dyDescent="0.25">
      <c r="A53" s="52" t="s">
        <v>246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  <row r="54" spans="1:16" s="36" customFormat="1" ht="16.5" customHeight="1" x14ac:dyDescent="0.25">
      <c r="A54" s="37">
        <v>2</v>
      </c>
      <c r="B54" s="37"/>
      <c r="C54" s="47" t="s">
        <v>64</v>
      </c>
      <c r="D54" s="47"/>
      <c r="E54" s="47"/>
      <c r="F54" s="47"/>
      <c r="G54" s="47"/>
      <c r="H54" s="29"/>
      <c r="I54" s="28"/>
      <c r="J54" s="28"/>
      <c r="K54" s="28"/>
      <c r="L54" s="28"/>
      <c r="M54" s="28"/>
      <c r="N54" s="28"/>
      <c r="O54" s="28"/>
      <c r="P54" s="28"/>
    </row>
    <row r="55" spans="1:16" s="36" customFormat="1" ht="58.5" customHeight="1" x14ac:dyDescent="0.25">
      <c r="A55" s="37"/>
      <c r="B55" s="37"/>
      <c r="C55" s="15" t="s">
        <v>106</v>
      </c>
      <c r="D55" s="15"/>
      <c r="E55" s="15"/>
      <c r="F55" s="15"/>
      <c r="G55" s="15"/>
      <c r="H55" s="29" t="s">
        <v>92</v>
      </c>
      <c r="I55" s="28" t="s">
        <v>242</v>
      </c>
      <c r="J55" s="28"/>
      <c r="K55" s="28">
        <v>690</v>
      </c>
      <c r="L55" s="28"/>
      <c r="M55" s="90">
        <v>739</v>
      </c>
      <c r="N55" s="90"/>
      <c r="O55" s="55">
        <f>M55-K55</f>
        <v>49</v>
      </c>
      <c r="P55" s="55"/>
    </row>
    <row r="56" spans="1:16" s="36" customFormat="1" ht="16.5" customHeight="1" x14ac:dyDescent="0.25">
      <c r="A56" s="37">
        <v>3</v>
      </c>
      <c r="B56" s="37"/>
      <c r="C56" s="47" t="s">
        <v>68</v>
      </c>
      <c r="D56" s="47"/>
      <c r="E56" s="47"/>
      <c r="F56" s="47"/>
      <c r="G56" s="47"/>
      <c r="H56" s="29"/>
      <c r="I56" s="28"/>
      <c r="J56" s="28"/>
      <c r="K56" s="28"/>
      <c r="L56" s="28"/>
      <c r="M56" s="28"/>
      <c r="N56" s="28"/>
      <c r="O56" s="28"/>
      <c r="P56" s="28"/>
    </row>
    <row r="57" spans="1:16" s="36" customFormat="1" ht="18.75" customHeight="1" x14ac:dyDescent="0.25">
      <c r="A57" s="37"/>
      <c r="B57" s="37"/>
      <c r="C57" s="15" t="s">
        <v>126</v>
      </c>
      <c r="D57" s="15"/>
      <c r="E57" s="15"/>
      <c r="F57" s="15"/>
      <c r="G57" s="15"/>
      <c r="H57" s="29" t="s">
        <v>96</v>
      </c>
      <c r="I57" s="28" t="s">
        <v>72</v>
      </c>
      <c r="J57" s="28"/>
      <c r="K57" s="55">
        <f>K46/K55*1000</f>
        <v>66022.197101449274</v>
      </c>
      <c r="L57" s="55"/>
      <c r="M57" s="55">
        <f>M46/M55*1000</f>
        <v>60487.954952638713</v>
      </c>
      <c r="N57" s="55"/>
      <c r="O57" s="55">
        <f>M57-K57</f>
        <v>-5534.242148810561</v>
      </c>
      <c r="P57" s="55"/>
    </row>
    <row r="58" spans="1:16" s="36" customFormat="1" ht="59.25" customHeight="1" x14ac:dyDescent="0.25">
      <c r="A58" s="37"/>
      <c r="B58" s="37"/>
      <c r="C58" s="15" t="s">
        <v>127</v>
      </c>
      <c r="D58" s="15"/>
      <c r="E58" s="15"/>
      <c r="F58" s="15"/>
      <c r="G58" s="15"/>
      <c r="H58" s="29" t="s">
        <v>97</v>
      </c>
      <c r="I58" s="28" t="s">
        <v>291</v>
      </c>
      <c r="J58" s="28"/>
      <c r="K58" s="28">
        <f>K55*160-500</f>
        <v>109900</v>
      </c>
      <c r="L58" s="28"/>
      <c r="M58" s="28">
        <f>32263+35865+34553</f>
        <v>102681</v>
      </c>
      <c r="N58" s="28"/>
      <c r="O58" s="55">
        <f>M58-K58</f>
        <v>-7219</v>
      </c>
      <c r="P58" s="55"/>
    </row>
    <row r="59" spans="1:16" s="36" customFormat="1" ht="16.5" customHeight="1" x14ac:dyDescent="0.25">
      <c r="A59" s="37">
        <v>4</v>
      </c>
      <c r="B59" s="37"/>
      <c r="C59" s="47" t="s">
        <v>74</v>
      </c>
      <c r="D59" s="47"/>
      <c r="E59" s="47"/>
      <c r="F59" s="47"/>
      <c r="G59" s="47"/>
      <c r="H59" s="29"/>
      <c r="I59" s="28"/>
      <c r="J59" s="28"/>
      <c r="K59" s="28"/>
      <c r="L59" s="28"/>
      <c r="M59" s="28"/>
      <c r="N59" s="28"/>
      <c r="O59" s="28"/>
      <c r="P59" s="28"/>
    </row>
    <row r="60" spans="1:16" s="36" customFormat="1" ht="16.5" customHeight="1" x14ac:dyDescent="0.25">
      <c r="A60" s="37"/>
      <c r="B60" s="37"/>
      <c r="C60" s="15" t="s">
        <v>99</v>
      </c>
      <c r="D60" s="15"/>
      <c r="E60" s="15"/>
      <c r="F60" s="15"/>
      <c r="G60" s="15"/>
      <c r="H60" s="29" t="s">
        <v>100</v>
      </c>
      <c r="I60" s="28" t="s">
        <v>72</v>
      </c>
      <c r="J60" s="28"/>
      <c r="K60" s="55">
        <f>K58/K55+1</f>
        <v>160.27536231884059</v>
      </c>
      <c r="L60" s="55"/>
      <c r="M60" s="55">
        <f>M58/M55</f>
        <v>138.94587280108254</v>
      </c>
      <c r="N60" s="55"/>
      <c r="O60" s="55">
        <f>M60-K60</f>
        <v>-21.329489517758049</v>
      </c>
      <c r="P60" s="55"/>
    </row>
    <row r="61" spans="1:16" s="36" customFormat="1" ht="17.25" customHeight="1" x14ac:dyDescent="0.25">
      <c r="A61" s="38" t="s">
        <v>233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40"/>
    </row>
    <row r="62" spans="1:16" s="36" customFormat="1" ht="43.5" customHeight="1" x14ac:dyDescent="0.25">
      <c r="A62" s="52" t="s">
        <v>289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</row>
    <row r="63" spans="1:16" s="36" customFormat="1" ht="18" customHeight="1" x14ac:dyDescent="0.25">
      <c r="A63" s="47" t="s">
        <v>240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s="36" customFormat="1" ht="28.5" customHeight="1" x14ac:dyDescent="0.25">
      <c r="A64" s="52" t="s">
        <v>290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  <row r="65" spans="1:16" ht="20.25" customHeight="1" x14ac:dyDescent="0.25">
      <c r="A65" s="37"/>
      <c r="B65" s="37">
        <v>1011040</v>
      </c>
      <c r="C65" s="38" t="s">
        <v>124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0"/>
    </row>
    <row r="66" spans="1:16" x14ac:dyDescent="0.25">
      <c r="A66" s="37">
        <v>1</v>
      </c>
      <c r="B66" s="37"/>
      <c r="C66" s="56" t="s">
        <v>56</v>
      </c>
      <c r="D66" s="56"/>
      <c r="E66" s="56"/>
      <c r="F66" s="56"/>
      <c r="G66" s="56"/>
      <c r="H66" s="57"/>
      <c r="I66" s="58"/>
      <c r="J66" s="58"/>
      <c r="K66" s="58"/>
      <c r="L66" s="58"/>
      <c r="M66" s="58"/>
      <c r="N66" s="58"/>
      <c r="O66" s="58"/>
      <c r="P66" s="58"/>
    </row>
    <row r="67" spans="1:16" ht="74.25" customHeight="1" x14ac:dyDescent="0.25">
      <c r="A67" s="37"/>
      <c r="B67" s="37"/>
      <c r="C67" s="15" t="s">
        <v>57</v>
      </c>
      <c r="D67" s="15"/>
      <c r="E67" s="15"/>
      <c r="F67" s="15"/>
      <c r="G67" s="15"/>
      <c r="H67" s="29" t="s">
        <v>58</v>
      </c>
      <c r="I67" s="28" t="s">
        <v>297</v>
      </c>
      <c r="J67" s="28"/>
      <c r="K67" s="30">
        <f>I30</f>
        <v>462.76900000000001</v>
      </c>
      <c r="L67" s="30"/>
      <c r="M67" s="30">
        <f>L30</f>
        <v>387.75583</v>
      </c>
      <c r="N67" s="30"/>
      <c r="O67" s="30">
        <f>M67-K67</f>
        <v>-75.013170000000002</v>
      </c>
      <c r="P67" s="30"/>
    </row>
    <row r="68" spans="1:16" ht="29.25" customHeight="1" x14ac:dyDescent="0.25">
      <c r="A68" s="37"/>
      <c r="B68" s="37"/>
      <c r="C68" s="15" t="s">
        <v>128</v>
      </c>
      <c r="D68" s="15"/>
      <c r="E68" s="15"/>
      <c r="F68" s="15"/>
      <c r="G68" s="15"/>
      <c r="H68" s="29" t="s">
        <v>58</v>
      </c>
      <c r="I68" s="28" t="s">
        <v>62</v>
      </c>
      <c r="J68" s="28"/>
      <c r="K68" s="30">
        <f>(137769+25000)/1000</f>
        <v>162.76900000000001</v>
      </c>
      <c r="L68" s="30"/>
      <c r="M68" s="30">
        <f>165364.02/1000</f>
        <v>165.36401999999998</v>
      </c>
      <c r="N68" s="30"/>
      <c r="O68" s="30">
        <f>M68-K68</f>
        <v>2.5950199999999768</v>
      </c>
      <c r="P68" s="30"/>
    </row>
    <row r="69" spans="1:16" ht="28.5" customHeight="1" x14ac:dyDescent="0.25">
      <c r="A69" s="37"/>
      <c r="B69" s="37"/>
      <c r="C69" s="15" t="s">
        <v>81</v>
      </c>
      <c r="D69" s="15"/>
      <c r="E69" s="15"/>
      <c r="F69" s="15"/>
      <c r="G69" s="15"/>
      <c r="H69" s="29" t="s">
        <v>58</v>
      </c>
      <c r="I69" s="28" t="s">
        <v>62</v>
      </c>
      <c r="J69" s="28"/>
      <c r="K69" s="30">
        <f>300000/1000</f>
        <v>300</v>
      </c>
      <c r="L69" s="30"/>
      <c r="M69" s="30">
        <f>222391.81/1000</f>
        <v>222.39180999999999</v>
      </c>
      <c r="N69" s="30"/>
      <c r="O69" s="30">
        <f>M69-K69</f>
        <v>-77.608190000000008</v>
      </c>
      <c r="P69" s="30"/>
    </row>
    <row r="70" spans="1:16" ht="19.5" customHeight="1" x14ac:dyDescent="0.25">
      <c r="A70" s="38" t="s">
        <v>233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40"/>
    </row>
    <row r="71" spans="1:16" ht="30.75" customHeight="1" x14ac:dyDescent="0.25">
      <c r="A71" s="52" t="s">
        <v>325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  <row r="72" spans="1:16" x14ac:dyDescent="0.25">
      <c r="A72" s="37">
        <v>2</v>
      </c>
      <c r="B72" s="37"/>
      <c r="C72" s="47" t="s">
        <v>64</v>
      </c>
      <c r="D72" s="47"/>
      <c r="E72" s="47"/>
      <c r="F72" s="47"/>
      <c r="G72" s="47"/>
      <c r="H72" s="29"/>
      <c r="I72" s="28"/>
      <c r="J72" s="28"/>
      <c r="K72" s="30"/>
      <c r="L72" s="30"/>
      <c r="M72" s="30"/>
      <c r="N72" s="30"/>
      <c r="O72" s="30"/>
      <c r="P72" s="30"/>
    </row>
    <row r="73" spans="1:16" ht="14.25" customHeight="1" x14ac:dyDescent="0.25">
      <c r="A73" s="37"/>
      <c r="B73" s="37"/>
      <c r="C73" s="15" t="s">
        <v>129</v>
      </c>
      <c r="D73" s="15"/>
      <c r="E73" s="15"/>
      <c r="F73" s="15"/>
      <c r="G73" s="15"/>
      <c r="H73" s="29" t="s">
        <v>67</v>
      </c>
      <c r="I73" s="28" t="s">
        <v>62</v>
      </c>
      <c r="J73" s="28"/>
      <c r="K73" s="48">
        <v>13</v>
      </c>
      <c r="L73" s="48"/>
      <c r="M73" s="48">
        <v>13</v>
      </c>
      <c r="N73" s="48"/>
      <c r="O73" s="48">
        <f>M73-K73</f>
        <v>0</v>
      </c>
      <c r="P73" s="48"/>
    </row>
    <row r="74" spans="1:16" ht="31.5" customHeight="1" x14ac:dyDescent="0.25">
      <c r="A74" s="37"/>
      <c r="B74" s="37"/>
      <c r="C74" s="15" t="s">
        <v>130</v>
      </c>
      <c r="D74" s="15"/>
      <c r="E74" s="15"/>
      <c r="F74" s="15"/>
      <c r="G74" s="15"/>
      <c r="H74" s="29" t="s">
        <v>67</v>
      </c>
      <c r="I74" s="28" t="s">
        <v>62</v>
      </c>
      <c r="J74" s="28"/>
      <c r="K74" s="48">
        <v>1</v>
      </c>
      <c r="L74" s="48"/>
      <c r="M74" s="48">
        <v>1</v>
      </c>
      <c r="N74" s="48"/>
      <c r="O74" s="48">
        <f>M74-K74</f>
        <v>0</v>
      </c>
      <c r="P74" s="48"/>
    </row>
    <row r="75" spans="1:16" x14ac:dyDescent="0.25">
      <c r="A75" s="37">
        <v>3</v>
      </c>
      <c r="B75" s="37"/>
      <c r="C75" s="47" t="s">
        <v>68</v>
      </c>
      <c r="D75" s="47"/>
      <c r="E75" s="47"/>
      <c r="F75" s="47"/>
      <c r="G75" s="47"/>
      <c r="H75" s="29"/>
      <c r="I75" s="28"/>
      <c r="J75" s="28"/>
      <c r="K75" s="30"/>
      <c r="L75" s="30"/>
      <c r="M75" s="30"/>
      <c r="N75" s="30"/>
      <c r="O75" s="30"/>
      <c r="P75" s="30"/>
    </row>
    <row r="76" spans="1:16" ht="30" customHeight="1" x14ac:dyDescent="0.25">
      <c r="A76" s="37"/>
      <c r="B76" s="37"/>
      <c r="C76" s="15" t="s">
        <v>131</v>
      </c>
      <c r="D76" s="15"/>
      <c r="E76" s="15"/>
      <c r="F76" s="15"/>
      <c r="G76" s="15"/>
      <c r="H76" s="29" t="s">
        <v>58</v>
      </c>
      <c r="I76" s="28" t="s">
        <v>72</v>
      </c>
      <c r="J76" s="28"/>
      <c r="K76" s="30">
        <f>K68/K73</f>
        <v>12.520692307692308</v>
      </c>
      <c r="L76" s="30"/>
      <c r="M76" s="30">
        <f>M68/M73</f>
        <v>12.72030923076923</v>
      </c>
      <c r="N76" s="30"/>
      <c r="O76" s="30" t="s">
        <v>73</v>
      </c>
      <c r="P76" s="30"/>
    </row>
    <row r="77" spans="1:16" ht="33" customHeight="1" x14ac:dyDescent="0.25">
      <c r="A77" s="37"/>
      <c r="B77" s="37"/>
      <c r="C77" s="15" t="s">
        <v>110</v>
      </c>
      <c r="D77" s="15"/>
      <c r="E77" s="15"/>
      <c r="F77" s="15"/>
      <c r="G77" s="15"/>
      <c r="H77" s="29" t="s">
        <v>58</v>
      </c>
      <c r="I77" s="28" t="s">
        <v>72</v>
      </c>
      <c r="J77" s="28"/>
      <c r="K77" s="30">
        <f>K69/K74</f>
        <v>300</v>
      </c>
      <c r="L77" s="30"/>
      <c r="M77" s="30">
        <f>M69/M74</f>
        <v>222.39180999999999</v>
      </c>
      <c r="N77" s="30"/>
      <c r="O77" s="30" t="s">
        <v>73</v>
      </c>
      <c r="P77" s="30"/>
    </row>
    <row r="78" spans="1:16" x14ac:dyDescent="0.25">
      <c r="A78" s="37">
        <v>4</v>
      </c>
      <c r="B78" s="37"/>
      <c r="C78" s="47" t="s">
        <v>74</v>
      </c>
      <c r="D78" s="47"/>
      <c r="E78" s="47"/>
      <c r="F78" s="47"/>
      <c r="G78" s="47"/>
      <c r="H78" s="29"/>
      <c r="I78" s="28"/>
      <c r="J78" s="28"/>
      <c r="K78" s="30"/>
      <c r="L78" s="30"/>
      <c r="M78" s="30"/>
      <c r="N78" s="30"/>
      <c r="O78" s="30"/>
      <c r="P78" s="30"/>
    </row>
    <row r="79" spans="1:16" ht="44.25" customHeight="1" x14ac:dyDescent="0.25">
      <c r="A79" s="37"/>
      <c r="B79" s="37"/>
      <c r="C79" s="15" t="s">
        <v>75</v>
      </c>
      <c r="D79" s="15"/>
      <c r="E79" s="15"/>
      <c r="F79" s="15"/>
      <c r="G79" s="15"/>
      <c r="H79" s="29" t="s">
        <v>77</v>
      </c>
      <c r="I79" s="28" t="s">
        <v>72</v>
      </c>
      <c r="J79" s="28"/>
      <c r="K79" s="48">
        <v>100</v>
      </c>
      <c r="L79" s="48"/>
      <c r="M79" s="48">
        <v>100</v>
      </c>
      <c r="N79" s="48"/>
      <c r="O79" s="48">
        <f>K79-M79</f>
        <v>0</v>
      </c>
      <c r="P79" s="48"/>
    </row>
    <row r="80" spans="1:16" ht="29.25" customHeight="1" x14ac:dyDescent="0.25">
      <c r="A80" s="37"/>
      <c r="B80" s="37"/>
      <c r="C80" s="15" t="s">
        <v>76</v>
      </c>
      <c r="D80" s="15"/>
      <c r="E80" s="15"/>
      <c r="F80" s="15"/>
      <c r="G80" s="15"/>
      <c r="H80" s="29" t="s">
        <v>77</v>
      </c>
      <c r="I80" s="28" t="s">
        <v>72</v>
      </c>
      <c r="J80" s="28"/>
      <c r="K80" s="48">
        <v>100</v>
      </c>
      <c r="L80" s="48"/>
      <c r="M80" s="48">
        <v>100</v>
      </c>
      <c r="N80" s="48"/>
      <c r="O80" s="48">
        <f>K80-M80</f>
        <v>0</v>
      </c>
      <c r="P80" s="48"/>
    </row>
    <row r="81" spans="1:16" ht="19.5" customHeight="1" x14ac:dyDescent="0.25">
      <c r="A81" s="47" t="s">
        <v>240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spans="1:16" ht="30.75" customHeight="1" x14ac:dyDescent="0.25">
      <c r="A82" s="52" t="s">
        <v>247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4"/>
    </row>
    <row r="83" spans="1:16" ht="11.25" customHeight="1" x14ac:dyDescent="0.25">
      <c r="H83" s="36"/>
    </row>
    <row r="84" spans="1:16" x14ac:dyDescent="0.25">
      <c r="A84" s="17" t="s">
        <v>40</v>
      </c>
      <c r="B84" s="23" t="s">
        <v>305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1:16" ht="12" customHeight="1" x14ac:dyDescent="0.25">
      <c r="P85" s="24" t="s">
        <v>16</v>
      </c>
    </row>
    <row r="86" spans="1:16" ht="33" customHeight="1" x14ac:dyDescent="0.25">
      <c r="A86" s="59" t="s">
        <v>41</v>
      </c>
      <c r="B86" s="60" t="s">
        <v>42</v>
      </c>
      <c r="C86" s="61"/>
      <c r="D86" s="59" t="s">
        <v>26</v>
      </c>
      <c r="E86" s="25" t="s">
        <v>43</v>
      </c>
      <c r="F86" s="25"/>
      <c r="G86" s="25"/>
      <c r="H86" s="25" t="s">
        <v>44</v>
      </c>
      <c r="I86" s="25"/>
      <c r="J86" s="25"/>
      <c r="K86" s="25" t="s">
        <v>45</v>
      </c>
      <c r="L86" s="25"/>
      <c r="M86" s="25"/>
      <c r="N86" s="25" t="s">
        <v>46</v>
      </c>
      <c r="O86" s="25"/>
      <c r="P86" s="25"/>
    </row>
    <row r="87" spans="1:16" ht="45" x14ac:dyDescent="0.25">
      <c r="A87" s="62"/>
      <c r="B87" s="63"/>
      <c r="C87" s="64"/>
      <c r="D87" s="62"/>
      <c r="E87" s="34" t="s">
        <v>19</v>
      </c>
      <c r="F87" s="34" t="s">
        <v>20</v>
      </c>
      <c r="G87" s="34" t="s">
        <v>21</v>
      </c>
      <c r="H87" s="34" t="s">
        <v>19</v>
      </c>
      <c r="I87" s="34" t="s">
        <v>20</v>
      </c>
      <c r="J87" s="34" t="s">
        <v>21</v>
      </c>
      <c r="K87" s="34" t="s">
        <v>19</v>
      </c>
      <c r="L87" s="34" t="s">
        <v>20</v>
      </c>
      <c r="M87" s="34" t="s">
        <v>21</v>
      </c>
      <c r="N87" s="34" t="s">
        <v>19</v>
      </c>
      <c r="O87" s="34" t="s">
        <v>20</v>
      </c>
      <c r="P87" s="34" t="s">
        <v>21</v>
      </c>
    </row>
    <row r="88" spans="1:16" s="4" customFormat="1" ht="8.25" customHeight="1" x14ac:dyDescent="0.25">
      <c r="A88" s="10">
        <v>1</v>
      </c>
      <c r="B88" s="12">
        <v>2</v>
      </c>
      <c r="C88" s="12"/>
      <c r="D88" s="10">
        <v>3</v>
      </c>
      <c r="E88" s="10">
        <v>4</v>
      </c>
      <c r="F88" s="10">
        <v>5</v>
      </c>
      <c r="G88" s="10">
        <v>6</v>
      </c>
      <c r="H88" s="10">
        <v>7</v>
      </c>
      <c r="I88" s="10">
        <v>8</v>
      </c>
      <c r="J88" s="10">
        <v>9</v>
      </c>
      <c r="K88" s="10">
        <v>10</v>
      </c>
      <c r="L88" s="10">
        <v>11</v>
      </c>
      <c r="M88" s="10">
        <v>12</v>
      </c>
      <c r="N88" s="10">
        <v>13</v>
      </c>
      <c r="O88" s="10">
        <v>14</v>
      </c>
      <c r="P88" s="10">
        <v>15</v>
      </c>
    </row>
    <row r="89" spans="1:16" x14ac:dyDescent="0.25">
      <c r="A89" s="57"/>
      <c r="B89" s="67"/>
      <c r="C89" s="68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</row>
    <row r="90" spans="1:16" ht="5.25" customHeight="1" x14ac:dyDescent="0.25"/>
    <row r="91" spans="1:16" ht="12" customHeight="1" x14ac:dyDescent="0.25">
      <c r="A91" s="23" t="s">
        <v>306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10.5" customHeight="1" x14ac:dyDescent="0.25">
      <c r="A92" s="23" t="s">
        <v>307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11.25" customHeight="1" x14ac:dyDescent="0.25">
      <c r="A93" s="23" t="s">
        <v>308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8" spans="1:15" x14ac:dyDescent="0.25">
      <c r="A98" s="65" t="s">
        <v>47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5" t="s">
        <v>48</v>
      </c>
      <c r="N98" s="66"/>
      <c r="O98" s="66"/>
    </row>
    <row r="102" spans="1:15" x14ac:dyDescent="0.25">
      <c r="A102" s="65" t="str">
        <f>'1010'!A116</f>
        <v xml:space="preserve">Спеціаліст І категорії, бухгалтер управління освіти і науки 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 t="str">
        <f>'1010'!M116</f>
        <v>Ю.Філатова</v>
      </c>
    </row>
  </sheetData>
  <mergeCells count="229">
    <mergeCell ref="N86:P86"/>
    <mergeCell ref="B88:C88"/>
    <mergeCell ref="A91:P91"/>
    <mergeCell ref="A92:P92"/>
    <mergeCell ref="A93:P93"/>
    <mergeCell ref="A86:A87"/>
    <mergeCell ref="B86:C87"/>
    <mergeCell ref="D86:D87"/>
    <mergeCell ref="E86:G86"/>
    <mergeCell ref="H86:J86"/>
    <mergeCell ref="K86:M86"/>
    <mergeCell ref="B89:C89"/>
    <mergeCell ref="C80:G80"/>
    <mergeCell ref="I80:J80"/>
    <mergeCell ref="K80:L80"/>
    <mergeCell ref="M80:N80"/>
    <mergeCell ref="O80:P80"/>
    <mergeCell ref="B84:P84"/>
    <mergeCell ref="C78:G78"/>
    <mergeCell ref="I78:J78"/>
    <mergeCell ref="K78:L78"/>
    <mergeCell ref="M78:N78"/>
    <mergeCell ref="O78:P78"/>
    <mergeCell ref="C79:G79"/>
    <mergeCell ref="I79:J79"/>
    <mergeCell ref="K79:L79"/>
    <mergeCell ref="M79:N79"/>
    <mergeCell ref="O79:P79"/>
    <mergeCell ref="C77:G77"/>
    <mergeCell ref="I77:J77"/>
    <mergeCell ref="K77:L77"/>
    <mergeCell ref="M77:N77"/>
    <mergeCell ref="O77:P77"/>
    <mergeCell ref="C75:G75"/>
    <mergeCell ref="I75:J75"/>
    <mergeCell ref="K75:L75"/>
    <mergeCell ref="M75:N75"/>
    <mergeCell ref="O75:P75"/>
    <mergeCell ref="C76:G76"/>
    <mergeCell ref="I76:J76"/>
    <mergeCell ref="K76:L76"/>
    <mergeCell ref="M76:N76"/>
    <mergeCell ref="O76:P76"/>
    <mergeCell ref="C74:G74"/>
    <mergeCell ref="I74:J74"/>
    <mergeCell ref="K74:L74"/>
    <mergeCell ref="M74:N74"/>
    <mergeCell ref="O74:P74"/>
    <mergeCell ref="C72:G72"/>
    <mergeCell ref="I72:J72"/>
    <mergeCell ref="K72:L72"/>
    <mergeCell ref="M72:N72"/>
    <mergeCell ref="O72:P72"/>
    <mergeCell ref="C73:G73"/>
    <mergeCell ref="I73:J73"/>
    <mergeCell ref="K73:L73"/>
    <mergeCell ref="M73:N73"/>
    <mergeCell ref="O73:P73"/>
    <mergeCell ref="C69:G69"/>
    <mergeCell ref="I69:J69"/>
    <mergeCell ref="K69:L69"/>
    <mergeCell ref="M69:N69"/>
    <mergeCell ref="O69:P69"/>
    <mergeCell ref="C67:G67"/>
    <mergeCell ref="I67:J67"/>
    <mergeCell ref="K67:L67"/>
    <mergeCell ref="M67:N67"/>
    <mergeCell ref="O67:P67"/>
    <mergeCell ref="C68:G68"/>
    <mergeCell ref="I68:J68"/>
    <mergeCell ref="K68:L68"/>
    <mergeCell ref="M68:N68"/>
    <mergeCell ref="O68:P68"/>
    <mergeCell ref="C65:P65"/>
    <mergeCell ref="C66:G66"/>
    <mergeCell ref="I66:J66"/>
    <mergeCell ref="K66:L66"/>
    <mergeCell ref="M66:N66"/>
    <mergeCell ref="O66:P66"/>
    <mergeCell ref="C60:G60"/>
    <mergeCell ref="I60:J60"/>
    <mergeCell ref="K60:L60"/>
    <mergeCell ref="M60:N60"/>
    <mergeCell ref="O60:P60"/>
    <mergeCell ref="A61:P61"/>
    <mergeCell ref="A62:P62"/>
    <mergeCell ref="A63:P63"/>
    <mergeCell ref="A64:P64"/>
    <mergeCell ref="C58:G58"/>
    <mergeCell ref="I58:J58"/>
    <mergeCell ref="K58:L58"/>
    <mergeCell ref="M58:N58"/>
    <mergeCell ref="O58:P58"/>
    <mergeCell ref="C59:G59"/>
    <mergeCell ref="I59:J59"/>
    <mergeCell ref="K59:L59"/>
    <mergeCell ref="M59:N59"/>
    <mergeCell ref="O59:P59"/>
    <mergeCell ref="C56:G56"/>
    <mergeCell ref="I56:J56"/>
    <mergeCell ref="K56:L56"/>
    <mergeCell ref="M56:N56"/>
    <mergeCell ref="O56:P56"/>
    <mergeCell ref="C57:G57"/>
    <mergeCell ref="I57:J57"/>
    <mergeCell ref="K57:L57"/>
    <mergeCell ref="M57:N57"/>
    <mergeCell ref="O57:P57"/>
    <mergeCell ref="C55:G55"/>
    <mergeCell ref="I55:J55"/>
    <mergeCell ref="K55:L55"/>
    <mergeCell ref="M55:N55"/>
    <mergeCell ref="O55:P55"/>
    <mergeCell ref="C51:G51"/>
    <mergeCell ref="I51:J51"/>
    <mergeCell ref="K51:L51"/>
    <mergeCell ref="M51:N51"/>
    <mergeCell ref="O51:P51"/>
    <mergeCell ref="C54:G54"/>
    <mergeCell ref="I54:J54"/>
    <mergeCell ref="K54:L54"/>
    <mergeCell ref="M54:N54"/>
    <mergeCell ref="O54:P54"/>
    <mergeCell ref="A52:P52"/>
    <mergeCell ref="A53:P53"/>
    <mergeCell ref="C49:G49"/>
    <mergeCell ref="I49:J49"/>
    <mergeCell ref="K49:L49"/>
    <mergeCell ref="M49:N49"/>
    <mergeCell ref="O49:P49"/>
    <mergeCell ref="C50:G50"/>
    <mergeCell ref="I50:J50"/>
    <mergeCell ref="K50:L50"/>
    <mergeCell ref="M50:N50"/>
    <mergeCell ref="O50:P50"/>
    <mergeCell ref="C47:G47"/>
    <mergeCell ref="I47:J47"/>
    <mergeCell ref="K47:L47"/>
    <mergeCell ref="M47:N47"/>
    <mergeCell ref="O47:P47"/>
    <mergeCell ref="C48:G48"/>
    <mergeCell ref="I48:J48"/>
    <mergeCell ref="K48:L48"/>
    <mergeCell ref="M48:N48"/>
    <mergeCell ref="O48:P48"/>
    <mergeCell ref="C45:G45"/>
    <mergeCell ref="I45:J45"/>
    <mergeCell ref="K45:L45"/>
    <mergeCell ref="M45:N45"/>
    <mergeCell ref="O45:P45"/>
    <mergeCell ref="C46:G46"/>
    <mergeCell ref="I46:J46"/>
    <mergeCell ref="K46:L46"/>
    <mergeCell ref="M46:N46"/>
    <mergeCell ref="O46:P46"/>
    <mergeCell ref="C44:P44"/>
    <mergeCell ref="A37:F37"/>
    <mergeCell ref="A38:F38"/>
    <mergeCell ref="B40:P40"/>
    <mergeCell ref="C42:G42"/>
    <mergeCell ref="I42:J42"/>
    <mergeCell ref="K42:L42"/>
    <mergeCell ref="M42:N42"/>
    <mergeCell ref="O42:P42"/>
    <mergeCell ref="Q25:S25"/>
    <mergeCell ref="T25:V25"/>
    <mergeCell ref="D27:F27"/>
    <mergeCell ref="D29:F29"/>
    <mergeCell ref="D30:F30"/>
    <mergeCell ref="B32:P32"/>
    <mergeCell ref="C43:G43"/>
    <mergeCell ref="I43:J43"/>
    <mergeCell ref="K43:L43"/>
    <mergeCell ref="M43:N43"/>
    <mergeCell ref="O43:P43"/>
    <mergeCell ref="D28:F28"/>
    <mergeCell ref="G21:H21"/>
    <mergeCell ref="I21:J21"/>
    <mergeCell ref="K21:L21"/>
    <mergeCell ref="A34:F35"/>
    <mergeCell ref="G34:I34"/>
    <mergeCell ref="J34:L34"/>
    <mergeCell ref="M34:O34"/>
    <mergeCell ref="P34:P35"/>
    <mergeCell ref="A36:F36"/>
    <mergeCell ref="A6:P6"/>
    <mergeCell ref="A7:P7"/>
    <mergeCell ref="A8:P8"/>
    <mergeCell ref="C10:P10"/>
    <mergeCell ref="C11:P11"/>
    <mergeCell ref="C12:P1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A70:P70"/>
    <mergeCell ref="A71:P71"/>
    <mergeCell ref="A81:P81"/>
    <mergeCell ref="A82:P82"/>
    <mergeCell ref="C13:P13"/>
    <mergeCell ref="D14:P14"/>
    <mergeCell ref="D15:P15"/>
    <mergeCell ref="B16:P16"/>
    <mergeCell ref="A18:F18"/>
    <mergeCell ref="G18:L18"/>
    <mergeCell ref="M18:P18"/>
    <mergeCell ref="M21:N21"/>
    <mergeCell ref="B23:P23"/>
    <mergeCell ref="A25:A26"/>
    <mergeCell ref="B25:B26"/>
    <mergeCell ref="C25:C26"/>
    <mergeCell ref="D25:F26"/>
    <mergeCell ref="G25:I25"/>
    <mergeCell ref="J25:L25"/>
    <mergeCell ref="M25:O25"/>
    <mergeCell ref="P25:P26"/>
    <mergeCell ref="A21:B21"/>
    <mergeCell ref="C21:D21"/>
    <mergeCell ref="E21:F21"/>
  </mergeCells>
  <pageMargins left="0.19685039370078741" right="0.19685039370078741" top="0.39370078740157483" bottom="0.19685039370078741" header="0.11811023622047245" footer="0.11811023622047245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80"/>
  <sheetViews>
    <sheetView view="pageBreakPreview" topLeftCell="A37" zoomScale="70" zoomScaleSheetLayoutView="70" workbookViewId="0">
      <selection activeCell="I43" sqref="I43:J43"/>
    </sheetView>
  </sheetViews>
  <sheetFormatPr defaultRowHeight="15" x14ac:dyDescent="0.25"/>
  <cols>
    <col min="1" max="1" width="5" style="17" customWidth="1"/>
    <col min="2" max="2" width="10.28515625" style="17" customWidth="1"/>
    <col min="3" max="3" width="9.140625" style="17" customWidth="1"/>
    <col min="4" max="4" width="7.140625" style="17" customWidth="1"/>
    <col min="5" max="5" width="7.85546875" style="17" customWidth="1"/>
    <col min="6" max="6" width="8.85546875" style="17" customWidth="1"/>
    <col min="7" max="8" width="14.42578125" style="17" customWidth="1"/>
    <col min="9" max="9" width="25.5703125" style="17" customWidth="1"/>
    <col min="10" max="10" width="20.28515625" style="17" customWidth="1"/>
    <col min="11" max="11" width="16" style="17" customWidth="1"/>
    <col min="12" max="12" width="14" style="17" customWidth="1"/>
    <col min="13" max="13" width="14.5703125" style="17" customWidth="1"/>
    <col min="14" max="14" width="13.42578125" style="17" customWidth="1"/>
    <col min="15" max="15" width="18" style="17" customWidth="1"/>
    <col min="16" max="16" width="38" style="17" customWidth="1"/>
    <col min="17" max="16384" width="9.140625" style="17"/>
  </cols>
  <sheetData>
    <row r="1" spans="1:16" ht="14.25" customHeight="1" x14ac:dyDescent="0.25">
      <c r="P1" s="5" t="s">
        <v>0</v>
      </c>
    </row>
    <row r="2" spans="1:16" ht="13.5" customHeight="1" x14ac:dyDescent="0.25">
      <c r="P2" s="5" t="s">
        <v>1</v>
      </c>
    </row>
    <row r="3" spans="1:16" ht="12.75" customHeight="1" x14ac:dyDescent="0.25">
      <c r="P3" s="5" t="s">
        <v>2</v>
      </c>
    </row>
    <row r="6" spans="1:16" ht="18" customHeight="1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13.5" customHeight="1" x14ac:dyDescent="0.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5.75" customHeight="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1.25" customHeight="1" x14ac:dyDescent="0.25"/>
    <row r="10" spans="1:16" ht="16.5" customHeight="1" x14ac:dyDescent="0.25">
      <c r="A10" s="19" t="s">
        <v>6</v>
      </c>
      <c r="B10" s="20">
        <v>1000000</v>
      </c>
      <c r="C10" s="21" t="s">
        <v>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2.75" customHeight="1" x14ac:dyDescent="0.25">
      <c r="B11" s="1" t="s">
        <v>7</v>
      </c>
      <c r="C11" s="13" t="s">
        <v>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5" customHeight="1" x14ac:dyDescent="0.25">
      <c r="A12" s="19" t="s">
        <v>9</v>
      </c>
      <c r="B12" s="20">
        <v>1010000</v>
      </c>
      <c r="C12" s="21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9.75" customHeight="1" x14ac:dyDescent="0.25">
      <c r="B13" s="1" t="s">
        <v>7</v>
      </c>
      <c r="C13" s="13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5.75" customHeight="1" x14ac:dyDescent="0.25">
      <c r="A14" s="19" t="s">
        <v>11</v>
      </c>
      <c r="B14" s="20">
        <v>1011070</v>
      </c>
      <c r="C14" s="22" t="s">
        <v>121</v>
      </c>
      <c r="D14" s="21" t="s">
        <v>132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1.25" customHeight="1" x14ac:dyDescent="0.25">
      <c r="B15" s="1" t="s">
        <v>7</v>
      </c>
      <c r="C15" s="1" t="s">
        <v>12</v>
      </c>
      <c r="D15" s="14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5.75" customHeight="1" x14ac:dyDescent="0.25">
      <c r="A16" s="19" t="s">
        <v>14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22" ht="10.5" customHeight="1" x14ac:dyDescent="0.25">
      <c r="P17" s="2" t="s">
        <v>16</v>
      </c>
    </row>
    <row r="18" spans="1:22" ht="16.5" customHeight="1" x14ac:dyDescent="0.25">
      <c r="A18" s="25" t="s">
        <v>17</v>
      </c>
      <c r="B18" s="25"/>
      <c r="C18" s="25"/>
      <c r="D18" s="25"/>
      <c r="E18" s="25"/>
      <c r="F18" s="25"/>
      <c r="G18" s="25" t="s">
        <v>18</v>
      </c>
      <c r="H18" s="25"/>
      <c r="I18" s="25"/>
      <c r="J18" s="25"/>
      <c r="K18" s="25"/>
      <c r="L18" s="25"/>
      <c r="M18" s="25" t="s">
        <v>22</v>
      </c>
      <c r="N18" s="25"/>
      <c r="O18" s="25"/>
      <c r="P18" s="25"/>
    </row>
    <row r="19" spans="1:22" ht="26.25" customHeight="1" x14ac:dyDescent="0.25">
      <c r="A19" s="26" t="s">
        <v>19</v>
      </c>
      <c r="B19" s="26"/>
      <c r="C19" s="26" t="s">
        <v>20</v>
      </c>
      <c r="D19" s="26"/>
      <c r="E19" s="26" t="s">
        <v>21</v>
      </c>
      <c r="F19" s="26"/>
      <c r="G19" s="26" t="s">
        <v>19</v>
      </c>
      <c r="H19" s="26"/>
      <c r="I19" s="26" t="s">
        <v>20</v>
      </c>
      <c r="J19" s="26"/>
      <c r="K19" s="26" t="s">
        <v>21</v>
      </c>
      <c r="L19" s="26"/>
      <c r="M19" s="26" t="s">
        <v>19</v>
      </c>
      <c r="N19" s="26"/>
      <c r="O19" s="27" t="s">
        <v>20</v>
      </c>
      <c r="P19" s="27" t="s">
        <v>21</v>
      </c>
    </row>
    <row r="20" spans="1:22" s="3" customFormat="1" ht="9" customHeight="1" x14ac:dyDescent="0.2">
      <c r="A20" s="12">
        <v>1</v>
      </c>
      <c r="B20" s="12"/>
      <c r="C20" s="12">
        <v>2</v>
      </c>
      <c r="D20" s="12"/>
      <c r="E20" s="12">
        <v>3</v>
      </c>
      <c r="F20" s="12"/>
      <c r="G20" s="12">
        <v>4</v>
      </c>
      <c r="H20" s="12"/>
      <c r="I20" s="12">
        <v>5</v>
      </c>
      <c r="J20" s="12"/>
      <c r="K20" s="12">
        <v>6</v>
      </c>
      <c r="L20" s="12"/>
      <c r="M20" s="12">
        <v>7</v>
      </c>
      <c r="N20" s="12"/>
      <c r="O20" s="10">
        <v>8</v>
      </c>
      <c r="P20" s="10">
        <v>9</v>
      </c>
    </row>
    <row r="21" spans="1:22" ht="15" customHeight="1" x14ac:dyDescent="0.25">
      <c r="A21" s="70">
        <f>9121313/1000</f>
        <v>9121.3130000000001</v>
      </c>
      <c r="B21" s="70"/>
      <c r="C21" s="70">
        <v>0</v>
      </c>
      <c r="D21" s="70"/>
      <c r="E21" s="70">
        <f>A21+C21</f>
        <v>9121.3130000000001</v>
      </c>
      <c r="F21" s="70"/>
      <c r="G21" s="70">
        <f>9087352.27/1000</f>
        <v>9087.3522699999994</v>
      </c>
      <c r="H21" s="70"/>
      <c r="I21" s="70">
        <f>65237.08/1000</f>
        <v>65.237080000000006</v>
      </c>
      <c r="J21" s="70"/>
      <c r="K21" s="70">
        <f>G21+I21</f>
        <v>9152.5893500000002</v>
      </c>
      <c r="L21" s="70"/>
      <c r="M21" s="70">
        <f>G21-A21</f>
        <v>-33.960730000000694</v>
      </c>
      <c r="N21" s="70"/>
      <c r="O21" s="71">
        <f>I21-C21</f>
        <v>65.237080000000006</v>
      </c>
      <c r="P21" s="72">
        <f>M21+O21</f>
        <v>31.276349999999312</v>
      </c>
    </row>
    <row r="22" spans="1:22" ht="9" customHeight="1" x14ac:dyDescent="0.25"/>
    <row r="23" spans="1:22" x14ac:dyDescent="0.25">
      <c r="A23" s="19" t="s">
        <v>23</v>
      </c>
      <c r="B23" s="23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22" ht="11.25" customHeight="1" x14ac:dyDescent="0.25">
      <c r="P24" s="2" t="s">
        <v>16</v>
      </c>
    </row>
    <row r="25" spans="1:22" ht="32.25" customHeight="1" x14ac:dyDescent="0.25">
      <c r="A25" s="25" t="s">
        <v>25</v>
      </c>
      <c r="B25" s="25" t="s">
        <v>26</v>
      </c>
      <c r="C25" s="25" t="s">
        <v>27</v>
      </c>
      <c r="D25" s="25" t="s">
        <v>298</v>
      </c>
      <c r="E25" s="25"/>
      <c r="F25" s="25"/>
      <c r="G25" s="25" t="s">
        <v>28</v>
      </c>
      <c r="H25" s="25"/>
      <c r="I25" s="25"/>
      <c r="J25" s="25" t="s">
        <v>29</v>
      </c>
      <c r="K25" s="25"/>
      <c r="L25" s="25"/>
      <c r="M25" s="25" t="s">
        <v>22</v>
      </c>
      <c r="N25" s="25"/>
      <c r="O25" s="25"/>
      <c r="P25" s="32" t="s">
        <v>30</v>
      </c>
      <c r="Q25" s="33"/>
      <c r="R25" s="33"/>
      <c r="S25" s="33"/>
      <c r="T25" s="33"/>
      <c r="U25" s="33"/>
      <c r="V25" s="33"/>
    </row>
    <row r="26" spans="1:22" ht="28.5" customHeight="1" x14ac:dyDescent="0.25">
      <c r="A26" s="25"/>
      <c r="B26" s="25"/>
      <c r="C26" s="25"/>
      <c r="D26" s="25"/>
      <c r="E26" s="25"/>
      <c r="F26" s="25"/>
      <c r="G26" s="34" t="s">
        <v>19</v>
      </c>
      <c r="H26" s="34" t="s">
        <v>20</v>
      </c>
      <c r="I26" s="34" t="s">
        <v>21</v>
      </c>
      <c r="J26" s="34" t="s">
        <v>19</v>
      </c>
      <c r="K26" s="34" t="s">
        <v>20</v>
      </c>
      <c r="L26" s="34" t="s">
        <v>21</v>
      </c>
      <c r="M26" s="34" t="s">
        <v>19</v>
      </c>
      <c r="N26" s="34" t="s">
        <v>20</v>
      </c>
      <c r="O26" s="34" t="s">
        <v>21</v>
      </c>
      <c r="P26" s="32"/>
    </row>
    <row r="27" spans="1:22" s="4" customFormat="1" ht="10.5" x14ac:dyDescent="0.25">
      <c r="A27" s="10">
        <v>1</v>
      </c>
      <c r="B27" s="10">
        <v>2</v>
      </c>
      <c r="C27" s="10">
        <v>3</v>
      </c>
      <c r="D27" s="12">
        <v>4</v>
      </c>
      <c r="E27" s="12"/>
      <c r="F27" s="12"/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1">
        <v>14</v>
      </c>
    </row>
    <row r="28" spans="1:22" ht="162.75" customHeight="1" x14ac:dyDescent="0.25">
      <c r="A28" s="29">
        <v>1</v>
      </c>
      <c r="B28" s="29">
        <v>1011070</v>
      </c>
      <c r="C28" s="74" t="s">
        <v>121</v>
      </c>
      <c r="D28" s="47" t="s">
        <v>326</v>
      </c>
      <c r="E28" s="15"/>
      <c r="F28" s="15"/>
      <c r="G28" s="9">
        <f>9121313/1000</f>
        <v>9121.3130000000001</v>
      </c>
      <c r="H28" s="9">
        <v>0</v>
      </c>
      <c r="I28" s="9">
        <f>G28+H28</f>
        <v>9121.3130000000001</v>
      </c>
      <c r="J28" s="9">
        <f>9087352.27/1000</f>
        <v>9087.3522699999994</v>
      </c>
      <c r="K28" s="9">
        <f>65237.08/1000</f>
        <v>65.237080000000006</v>
      </c>
      <c r="L28" s="9">
        <f>J28+K28</f>
        <v>9152.5893500000002</v>
      </c>
      <c r="M28" s="9">
        <f>J28-G28</f>
        <v>-33.960730000000694</v>
      </c>
      <c r="N28" s="9">
        <f>K28-H28</f>
        <v>65.237080000000006</v>
      </c>
      <c r="O28" s="9">
        <f>L28-I28</f>
        <v>31.276350000000093</v>
      </c>
      <c r="P28" s="44" t="s">
        <v>327</v>
      </c>
    </row>
    <row r="29" spans="1:22" ht="9.75" customHeight="1" x14ac:dyDescent="0.25">
      <c r="D29" s="46"/>
      <c r="E29" s="46"/>
      <c r="F29" s="46"/>
    </row>
    <row r="30" spans="1:22" x14ac:dyDescent="0.25">
      <c r="A30" s="17" t="s">
        <v>31</v>
      </c>
      <c r="B30" s="23" t="s">
        <v>32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22" ht="11.25" customHeight="1" x14ac:dyDescent="0.25">
      <c r="P31" s="2" t="s">
        <v>16</v>
      </c>
    </row>
    <row r="32" spans="1:22" ht="28.5" customHeight="1" x14ac:dyDescent="0.25">
      <c r="A32" s="25" t="s">
        <v>33</v>
      </c>
      <c r="B32" s="25"/>
      <c r="C32" s="25"/>
      <c r="D32" s="25"/>
      <c r="E32" s="25"/>
      <c r="F32" s="25"/>
      <c r="G32" s="25" t="s">
        <v>28</v>
      </c>
      <c r="H32" s="25"/>
      <c r="I32" s="25"/>
      <c r="J32" s="25" t="s">
        <v>29</v>
      </c>
      <c r="K32" s="25"/>
      <c r="L32" s="25"/>
      <c r="M32" s="25" t="s">
        <v>22</v>
      </c>
      <c r="N32" s="25"/>
      <c r="O32" s="25"/>
      <c r="P32" s="25" t="s">
        <v>30</v>
      </c>
    </row>
    <row r="33" spans="1:16" ht="29.25" customHeight="1" x14ac:dyDescent="0.25">
      <c r="A33" s="25"/>
      <c r="B33" s="25"/>
      <c r="C33" s="25"/>
      <c r="D33" s="25"/>
      <c r="E33" s="25"/>
      <c r="F33" s="25"/>
      <c r="G33" s="34" t="s">
        <v>19</v>
      </c>
      <c r="H33" s="34" t="s">
        <v>20</v>
      </c>
      <c r="I33" s="34" t="s">
        <v>21</v>
      </c>
      <c r="J33" s="34" t="s">
        <v>19</v>
      </c>
      <c r="K33" s="34" t="s">
        <v>20</v>
      </c>
      <c r="L33" s="34" t="s">
        <v>21</v>
      </c>
      <c r="M33" s="34" t="s">
        <v>19</v>
      </c>
      <c r="N33" s="34" t="s">
        <v>20</v>
      </c>
      <c r="O33" s="34" t="s">
        <v>21</v>
      </c>
      <c r="P33" s="25"/>
    </row>
    <row r="34" spans="1:16" s="4" customFormat="1" ht="10.5" x14ac:dyDescent="0.25">
      <c r="A34" s="12">
        <v>1</v>
      </c>
      <c r="B34" s="12"/>
      <c r="C34" s="12"/>
      <c r="D34" s="12"/>
      <c r="E34" s="12"/>
      <c r="F34" s="12"/>
      <c r="G34" s="10">
        <v>2</v>
      </c>
      <c r="H34" s="10">
        <v>3</v>
      </c>
      <c r="I34" s="10">
        <v>4</v>
      </c>
      <c r="J34" s="10">
        <v>5</v>
      </c>
      <c r="K34" s="10">
        <v>6</v>
      </c>
      <c r="L34" s="10">
        <v>7</v>
      </c>
      <c r="M34" s="10">
        <v>8</v>
      </c>
      <c r="N34" s="10">
        <v>9</v>
      </c>
      <c r="O34" s="10">
        <v>10</v>
      </c>
      <c r="P34" s="10">
        <v>11</v>
      </c>
    </row>
    <row r="35" spans="1:16" ht="76.5" customHeight="1" x14ac:dyDescent="0.25">
      <c r="A35" s="52" t="s">
        <v>54</v>
      </c>
      <c r="B35" s="53"/>
      <c r="C35" s="53"/>
      <c r="D35" s="53"/>
      <c r="E35" s="53"/>
      <c r="F35" s="54"/>
      <c r="G35" s="9">
        <f>1798/1000</f>
        <v>1.798</v>
      </c>
      <c r="H35" s="9">
        <v>0</v>
      </c>
      <c r="I35" s="9">
        <f>G35+H35</f>
        <v>1.798</v>
      </c>
      <c r="J35" s="9">
        <v>0</v>
      </c>
      <c r="K35" s="9">
        <v>0</v>
      </c>
      <c r="L35" s="9">
        <f>J35+K35</f>
        <v>0</v>
      </c>
      <c r="M35" s="9">
        <f>G35-J35</f>
        <v>1.798</v>
      </c>
      <c r="N35" s="9">
        <f>H35-K35</f>
        <v>0</v>
      </c>
      <c r="O35" s="9">
        <f>M35+N35</f>
        <v>1.798</v>
      </c>
      <c r="P35" s="6" t="s">
        <v>328</v>
      </c>
    </row>
    <row r="36" spans="1:16" ht="12" customHeight="1" x14ac:dyDescent="0.25"/>
    <row r="37" spans="1:16" x14ac:dyDescent="0.25">
      <c r="A37" s="17" t="s">
        <v>34</v>
      </c>
      <c r="B37" s="23" t="s">
        <v>35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ht="11.25" customHeight="1" x14ac:dyDescent="0.25">
      <c r="P38" s="2" t="s">
        <v>16</v>
      </c>
    </row>
    <row r="39" spans="1:16" ht="48" customHeight="1" x14ac:dyDescent="0.25">
      <c r="A39" s="34" t="s">
        <v>25</v>
      </c>
      <c r="B39" s="34" t="s">
        <v>26</v>
      </c>
      <c r="C39" s="25" t="s">
        <v>36</v>
      </c>
      <c r="D39" s="25"/>
      <c r="E39" s="25"/>
      <c r="F39" s="25"/>
      <c r="G39" s="25"/>
      <c r="H39" s="34" t="s">
        <v>37</v>
      </c>
      <c r="I39" s="25" t="s">
        <v>38</v>
      </c>
      <c r="J39" s="25"/>
      <c r="K39" s="25" t="s">
        <v>28</v>
      </c>
      <c r="L39" s="25"/>
      <c r="M39" s="25" t="s">
        <v>39</v>
      </c>
      <c r="N39" s="25"/>
      <c r="O39" s="25" t="s">
        <v>22</v>
      </c>
      <c r="P39" s="25"/>
    </row>
    <row r="40" spans="1:16" s="4" customFormat="1" ht="11.25" customHeight="1" x14ac:dyDescent="0.25">
      <c r="A40" s="10">
        <v>1</v>
      </c>
      <c r="B40" s="10">
        <v>2</v>
      </c>
      <c r="C40" s="12">
        <v>3</v>
      </c>
      <c r="D40" s="12"/>
      <c r="E40" s="12"/>
      <c r="F40" s="12"/>
      <c r="G40" s="12"/>
      <c r="H40" s="10">
        <v>4</v>
      </c>
      <c r="I40" s="12">
        <v>5</v>
      </c>
      <c r="J40" s="12"/>
      <c r="K40" s="12">
        <v>6</v>
      </c>
      <c r="L40" s="12"/>
      <c r="M40" s="12">
        <v>7</v>
      </c>
      <c r="N40" s="12"/>
      <c r="O40" s="12">
        <v>8</v>
      </c>
      <c r="P40" s="12"/>
    </row>
    <row r="41" spans="1:16" s="36" customFormat="1" ht="16.5" customHeight="1" x14ac:dyDescent="0.25">
      <c r="A41" s="37"/>
      <c r="B41" s="37">
        <v>1011070</v>
      </c>
      <c r="C41" s="38" t="s">
        <v>133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</row>
    <row r="42" spans="1:16" s="36" customFormat="1" ht="18" customHeight="1" x14ac:dyDescent="0.25">
      <c r="A42" s="37">
        <v>1</v>
      </c>
      <c r="B42" s="37"/>
      <c r="C42" s="47" t="s">
        <v>56</v>
      </c>
      <c r="D42" s="47"/>
      <c r="E42" s="47"/>
      <c r="F42" s="47"/>
      <c r="G42" s="47"/>
      <c r="H42" s="29"/>
      <c r="I42" s="28"/>
      <c r="J42" s="28"/>
      <c r="K42" s="28"/>
      <c r="L42" s="28"/>
      <c r="M42" s="28"/>
      <c r="N42" s="28"/>
      <c r="O42" s="28"/>
      <c r="P42" s="28"/>
    </row>
    <row r="43" spans="1:16" s="36" customFormat="1" ht="76.5" customHeight="1" x14ac:dyDescent="0.25">
      <c r="A43" s="37"/>
      <c r="B43" s="37"/>
      <c r="C43" s="15" t="s">
        <v>83</v>
      </c>
      <c r="D43" s="15"/>
      <c r="E43" s="15"/>
      <c r="F43" s="15"/>
      <c r="G43" s="15"/>
      <c r="H43" s="29" t="s">
        <v>58</v>
      </c>
      <c r="I43" s="28" t="s">
        <v>297</v>
      </c>
      <c r="J43" s="28"/>
      <c r="K43" s="30">
        <f>E21</f>
        <v>9121.3130000000001</v>
      </c>
      <c r="L43" s="28"/>
      <c r="M43" s="30">
        <f>K21</f>
        <v>9152.5893500000002</v>
      </c>
      <c r="N43" s="28"/>
      <c r="O43" s="30">
        <f>M43-K43</f>
        <v>31.276350000000093</v>
      </c>
      <c r="P43" s="28"/>
    </row>
    <row r="44" spans="1:16" s="36" customFormat="1" ht="45.75" customHeight="1" x14ac:dyDescent="0.25">
      <c r="A44" s="37"/>
      <c r="B44" s="37"/>
      <c r="C44" s="15" t="s">
        <v>125</v>
      </c>
      <c r="D44" s="15"/>
      <c r="E44" s="15"/>
      <c r="F44" s="15"/>
      <c r="G44" s="15"/>
      <c r="H44" s="29" t="s">
        <v>67</v>
      </c>
      <c r="I44" s="28" t="s">
        <v>89</v>
      </c>
      <c r="J44" s="28"/>
      <c r="K44" s="28">
        <v>1</v>
      </c>
      <c r="L44" s="28"/>
      <c r="M44" s="28">
        <v>1</v>
      </c>
      <c r="N44" s="28"/>
      <c r="O44" s="48">
        <f>M44-K44</f>
        <v>0</v>
      </c>
      <c r="P44" s="48"/>
    </row>
    <row r="45" spans="1:16" s="36" customFormat="1" ht="57.75" customHeight="1" x14ac:dyDescent="0.25">
      <c r="A45" s="37"/>
      <c r="B45" s="37"/>
      <c r="C45" s="52" t="s">
        <v>86</v>
      </c>
      <c r="D45" s="53"/>
      <c r="E45" s="53"/>
      <c r="F45" s="53"/>
      <c r="G45" s="54"/>
      <c r="H45" s="29" t="s">
        <v>67</v>
      </c>
      <c r="I45" s="28" t="s">
        <v>281</v>
      </c>
      <c r="J45" s="28"/>
      <c r="K45" s="80">
        <v>50.56</v>
      </c>
      <c r="L45" s="81"/>
      <c r="M45" s="93">
        <v>50.95</v>
      </c>
      <c r="N45" s="94"/>
      <c r="O45" s="51">
        <f>M45-K45</f>
        <v>0.39000000000000057</v>
      </c>
      <c r="P45" s="51"/>
    </row>
    <row r="46" spans="1:16" s="36" customFormat="1" ht="59.25" customHeight="1" x14ac:dyDescent="0.25">
      <c r="A46" s="37"/>
      <c r="B46" s="37"/>
      <c r="C46" s="52" t="s">
        <v>87</v>
      </c>
      <c r="D46" s="53"/>
      <c r="E46" s="53"/>
      <c r="F46" s="53"/>
      <c r="G46" s="54"/>
      <c r="H46" s="29" t="s">
        <v>67</v>
      </c>
      <c r="I46" s="28" t="s">
        <v>281</v>
      </c>
      <c r="J46" s="28"/>
      <c r="K46" s="80">
        <v>48.17</v>
      </c>
      <c r="L46" s="81"/>
      <c r="M46" s="80">
        <v>47.38</v>
      </c>
      <c r="N46" s="81"/>
      <c r="O46" s="51">
        <f>M46-K46</f>
        <v>-0.78999999999999915</v>
      </c>
      <c r="P46" s="51"/>
    </row>
    <row r="47" spans="1:16" s="36" customFormat="1" ht="59.25" customHeight="1" x14ac:dyDescent="0.25">
      <c r="A47" s="37"/>
      <c r="B47" s="37"/>
      <c r="C47" s="15" t="s">
        <v>88</v>
      </c>
      <c r="D47" s="15"/>
      <c r="E47" s="15"/>
      <c r="F47" s="15"/>
      <c r="G47" s="15"/>
      <c r="H47" s="29" t="s">
        <v>67</v>
      </c>
      <c r="I47" s="28" t="s">
        <v>281</v>
      </c>
      <c r="J47" s="28"/>
      <c r="K47" s="28">
        <f>K45+K46</f>
        <v>98.73</v>
      </c>
      <c r="L47" s="28"/>
      <c r="M47" s="50">
        <f>M45+M46</f>
        <v>98.330000000000013</v>
      </c>
      <c r="N47" s="50"/>
      <c r="O47" s="51">
        <f>M47-K47</f>
        <v>-0.39999999999999147</v>
      </c>
      <c r="P47" s="51"/>
    </row>
    <row r="48" spans="1:16" s="36" customFormat="1" ht="16.5" customHeight="1" x14ac:dyDescent="0.25">
      <c r="A48" s="38" t="s">
        <v>233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</row>
    <row r="49" spans="1:16" s="36" customFormat="1" ht="18" customHeight="1" x14ac:dyDescent="0.25">
      <c r="A49" s="52" t="s">
        <v>261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  <row r="50" spans="1:16" s="36" customFormat="1" ht="18" customHeight="1" x14ac:dyDescent="0.25">
      <c r="A50" s="37">
        <v>2</v>
      </c>
      <c r="B50" s="37"/>
      <c r="C50" s="47" t="s">
        <v>64</v>
      </c>
      <c r="D50" s="47"/>
      <c r="E50" s="47"/>
      <c r="F50" s="47"/>
      <c r="G50" s="47"/>
      <c r="H50" s="29"/>
      <c r="I50" s="28"/>
      <c r="J50" s="28"/>
      <c r="K50" s="28"/>
      <c r="L50" s="28"/>
      <c r="M50" s="28"/>
      <c r="N50" s="28"/>
      <c r="O50" s="28"/>
      <c r="P50" s="28"/>
    </row>
    <row r="51" spans="1:16" s="36" customFormat="1" ht="56.25" customHeight="1" x14ac:dyDescent="0.25">
      <c r="A51" s="37"/>
      <c r="B51" s="37"/>
      <c r="C51" s="15" t="s">
        <v>134</v>
      </c>
      <c r="D51" s="15"/>
      <c r="E51" s="15"/>
      <c r="F51" s="15"/>
      <c r="G51" s="15"/>
      <c r="H51" s="29" t="s">
        <v>92</v>
      </c>
      <c r="I51" s="28" t="s">
        <v>248</v>
      </c>
      <c r="J51" s="28"/>
      <c r="K51" s="28">
        <v>119</v>
      </c>
      <c r="L51" s="28"/>
      <c r="M51" s="49">
        <v>115</v>
      </c>
      <c r="N51" s="49"/>
      <c r="O51" s="48">
        <f>M51-K51</f>
        <v>-4</v>
      </c>
      <c r="P51" s="48"/>
    </row>
    <row r="52" spans="1:16" s="36" customFormat="1" ht="17.25" customHeight="1" x14ac:dyDescent="0.25">
      <c r="A52" s="38" t="s">
        <v>233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/>
    </row>
    <row r="53" spans="1:16" s="36" customFormat="1" ht="16.5" customHeight="1" x14ac:dyDescent="0.25">
      <c r="A53" s="52" t="s">
        <v>262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  <row r="54" spans="1:16" s="36" customFormat="1" ht="16.5" customHeight="1" x14ac:dyDescent="0.25">
      <c r="A54" s="37">
        <v>3</v>
      </c>
      <c r="B54" s="37"/>
      <c r="C54" s="47" t="s">
        <v>68</v>
      </c>
      <c r="D54" s="47"/>
      <c r="E54" s="47"/>
      <c r="F54" s="47"/>
      <c r="G54" s="47"/>
      <c r="H54" s="29"/>
      <c r="I54" s="28"/>
      <c r="J54" s="28"/>
      <c r="K54" s="28"/>
      <c r="L54" s="28"/>
      <c r="M54" s="28"/>
      <c r="N54" s="28"/>
      <c r="O54" s="28"/>
      <c r="P54" s="28"/>
    </row>
    <row r="55" spans="1:16" s="36" customFormat="1" ht="16.5" customHeight="1" x14ac:dyDescent="0.25">
      <c r="A55" s="37"/>
      <c r="B55" s="37"/>
      <c r="C55" s="15" t="s">
        <v>95</v>
      </c>
      <c r="D55" s="15"/>
      <c r="E55" s="15"/>
      <c r="F55" s="15"/>
      <c r="G55" s="15"/>
      <c r="H55" s="29" t="s">
        <v>97</v>
      </c>
      <c r="I55" s="28" t="s">
        <v>245</v>
      </c>
      <c r="J55" s="28"/>
      <c r="K55" s="28">
        <f>K51*162+22</f>
        <v>19300</v>
      </c>
      <c r="L55" s="28"/>
      <c r="M55" s="28">
        <v>18000</v>
      </c>
      <c r="N55" s="28"/>
      <c r="O55" s="48">
        <f>M55-K55</f>
        <v>-1300</v>
      </c>
      <c r="P55" s="48"/>
    </row>
    <row r="56" spans="1:16" s="36" customFormat="1" ht="15.75" customHeight="1" x14ac:dyDescent="0.25">
      <c r="A56" s="37"/>
      <c r="B56" s="37"/>
      <c r="C56" s="52" t="s">
        <v>120</v>
      </c>
      <c r="D56" s="53"/>
      <c r="E56" s="53"/>
      <c r="F56" s="53"/>
      <c r="G56" s="54"/>
      <c r="H56" s="29" t="s">
        <v>96</v>
      </c>
      <c r="I56" s="80" t="s">
        <v>72</v>
      </c>
      <c r="J56" s="81"/>
      <c r="K56" s="88">
        <f>K43/K51*1000</f>
        <v>76649.689075630245</v>
      </c>
      <c r="L56" s="89"/>
      <c r="M56" s="88">
        <f>M43/M51*1000</f>
        <v>79587.733478260867</v>
      </c>
      <c r="N56" s="89"/>
      <c r="O56" s="48">
        <f>M56-K56</f>
        <v>2938.0444026306213</v>
      </c>
      <c r="P56" s="48"/>
    </row>
    <row r="57" spans="1:16" s="36" customFormat="1" ht="16.5" customHeight="1" x14ac:dyDescent="0.25">
      <c r="A57" s="38" t="s">
        <v>233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0"/>
    </row>
    <row r="58" spans="1:16" s="36" customFormat="1" ht="31.5" customHeight="1" x14ac:dyDescent="0.25">
      <c r="A58" s="52" t="s">
        <v>292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</row>
    <row r="59" spans="1:16" s="36" customFormat="1" ht="15.75" customHeight="1" x14ac:dyDescent="0.25">
      <c r="A59" s="37">
        <v>4</v>
      </c>
      <c r="B59" s="37"/>
      <c r="C59" s="47" t="s">
        <v>74</v>
      </c>
      <c r="D59" s="47"/>
      <c r="E59" s="47"/>
      <c r="F59" s="47"/>
      <c r="G59" s="47"/>
      <c r="H59" s="29"/>
      <c r="I59" s="28"/>
      <c r="J59" s="28"/>
      <c r="K59" s="28"/>
      <c r="L59" s="28"/>
      <c r="M59" s="28"/>
      <c r="N59" s="28"/>
      <c r="O59" s="28"/>
      <c r="P59" s="28"/>
    </row>
    <row r="60" spans="1:16" s="36" customFormat="1" ht="14.25" customHeight="1" x14ac:dyDescent="0.25">
      <c r="A60" s="37"/>
      <c r="B60" s="37"/>
      <c r="C60" s="15" t="s">
        <v>99</v>
      </c>
      <c r="D60" s="15"/>
      <c r="E60" s="15"/>
      <c r="F60" s="15"/>
      <c r="G60" s="15"/>
      <c r="H60" s="29" t="s">
        <v>100</v>
      </c>
      <c r="I60" s="28" t="s">
        <v>72</v>
      </c>
      <c r="J60" s="28"/>
      <c r="K60" s="55">
        <f>K55/K51</f>
        <v>162.18487394957984</v>
      </c>
      <c r="L60" s="55"/>
      <c r="M60" s="55">
        <f>M55/M51</f>
        <v>156.52173913043478</v>
      </c>
      <c r="N60" s="55"/>
      <c r="O60" s="28">
        <v>0</v>
      </c>
      <c r="P60" s="28"/>
    </row>
    <row r="61" spans="1:16" s="36" customFormat="1" ht="15.75" customHeight="1" x14ac:dyDescent="0.25">
      <c r="A61" s="47" t="s">
        <v>240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spans="1:16" s="36" customFormat="1" ht="31.5" customHeight="1" x14ac:dyDescent="0.25">
      <c r="A62" s="52" t="s">
        <v>263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</row>
    <row r="63" spans="1:16" s="82" customFormat="1" ht="9.75" customHeight="1" x14ac:dyDescent="0.25">
      <c r="H63" s="83"/>
    </row>
    <row r="64" spans="1:16" ht="14.25" customHeight="1" x14ac:dyDescent="0.25">
      <c r="A64" s="17" t="s">
        <v>40</v>
      </c>
      <c r="B64" s="23" t="s">
        <v>305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1:16" ht="12" customHeight="1" x14ac:dyDescent="0.25">
      <c r="P65" s="2" t="s">
        <v>16</v>
      </c>
    </row>
    <row r="66" spans="1:16" ht="25.5" customHeight="1" x14ac:dyDescent="0.25">
      <c r="A66" s="59" t="s">
        <v>41</v>
      </c>
      <c r="B66" s="60" t="s">
        <v>42</v>
      </c>
      <c r="C66" s="61"/>
      <c r="D66" s="59" t="s">
        <v>26</v>
      </c>
      <c r="E66" s="25" t="s">
        <v>43</v>
      </c>
      <c r="F66" s="25"/>
      <c r="G66" s="25"/>
      <c r="H66" s="25" t="s">
        <v>44</v>
      </c>
      <c r="I66" s="25"/>
      <c r="J66" s="25"/>
      <c r="K66" s="25" t="s">
        <v>45</v>
      </c>
      <c r="L66" s="25"/>
      <c r="M66" s="25"/>
      <c r="N66" s="25" t="s">
        <v>46</v>
      </c>
      <c r="O66" s="25"/>
      <c r="P66" s="25"/>
    </row>
    <row r="67" spans="1:16" ht="45" x14ac:dyDescent="0.25">
      <c r="A67" s="62"/>
      <c r="B67" s="63"/>
      <c r="C67" s="64"/>
      <c r="D67" s="62"/>
      <c r="E67" s="34" t="s">
        <v>19</v>
      </c>
      <c r="F67" s="34" t="s">
        <v>20</v>
      </c>
      <c r="G67" s="34" t="s">
        <v>21</v>
      </c>
      <c r="H67" s="34" t="s">
        <v>19</v>
      </c>
      <c r="I67" s="34" t="s">
        <v>20</v>
      </c>
      <c r="J67" s="34" t="s">
        <v>21</v>
      </c>
      <c r="K67" s="34" t="s">
        <v>19</v>
      </c>
      <c r="L67" s="34" t="s">
        <v>20</v>
      </c>
      <c r="M67" s="34" t="s">
        <v>21</v>
      </c>
      <c r="N67" s="34" t="s">
        <v>19</v>
      </c>
      <c r="O67" s="34" t="s">
        <v>20</v>
      </c>
      <c r="P67" s="34" t="s">
        <v>21</v>
      </c>
    </row>
    <row r="68" spans="1:16" s="4" customFormat="1" ht="8.25" customHeight="1" x14ac:dyDescent="0.25">
      <c r="A68" s="10">
        <v>1</v>
      </c>
      <c r="B68" s="12">
        <v>2</v>
      </c>
      <c r="C68" s="12"/>
      <c r="D68" s="10">
        <v>3</v>
      </c>
      <c r="E68" s="10">
        <v>4</v>
      </c>
      <c r="F68" s="10">
        <v>5</v>
      </c>
      <c r="G68" s="10">
        <v>6</v>
      </c>
      <c r="H68" s="10">
        <v>7</v>
      </c>
      <c r="I68" s="10">
        <v>8</v>
      </c>
      <c r="J68" s="10">
        <v>9</v>
      </c>
      <c r="K68" s="10">
        <v>10</v>
      </c>
      <c r="L68" s="10">
        <v>11</v>
      </c>
      <c r="M68" s="10">
        <v>12</v>
      </c>
      <c r="N68" s="10">
        <v>13</v>
      </c>
      <c r="O68" s="10">
        <v>14</v>
      </c>
      <c r="P68" s="10">
        <v>15</v>
      </c>
    </row>
    <row r="69" spans="1:16" x14ac:dyDescent="0.25">
      <c r="A69" s="57"/>
      <c r="B69" s="67"/>
      <c r="C69" s="68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</row>
    <row r="70" spans="1:16" ht="5.25" customHeight="1" x14ac:dyDescent="0.25"/>
    <row r="71" spans="1:16" ht="12" customHeight="1" x14ac:dyDescent="0.25">
      <c r="A71" s="23" t="s">
        <v>306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1:16" ht="10.5" customHeight="1" x14ac:dyDescent="0.25">
      <c r="A72" s="23" t="s">
        <v>307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1:16" ht="11.25" customHeight="1" x14ac:dyDescent="0.25">
      <c r="A73" s="23" t="s">
        <v>308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1:16" ht="16.5" customHeight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6" spans="1:16" x14ac:dyDescent="0.25">
      <c r="A76" s="65" t="s">
        <v>47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5" t="s">
        <v>48</v>
      </c>
      <c r="N76" s="66"/>
      <c r="O76" s="66"/>
    </row>
    <row r="77" spans="1:16" x14ac:dyDescent="0.25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5"/>
      <c r="N77" s="66"/>
      <c r="O77" s="66"/>
    </row>
    <row r="78" spans="1:16" x14ac:dyDescent="0.25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5"/>
      <c r="N78" s="66"/>
      <c r="O78" s="66"/>
    </row>
    <row r="80" spans="1:16" x14ac:dyDescent="0.25">
      <c r="A80" s="65" t="str">
        <f>'1010'!A116</f>
        <v xml:space="preserve">Спеціаліст І категорії, бухгалтер управління освіти і науки 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 t="str">
        <f>'1010'!M116</f>
        <v>Ю.Філатова</v>
      </c>
    </row>
  </sheetData>
  <mergeCells count="153">
    <mergeCell ref="B69:C69"/>
    <mergeCell ref="C45:G45"/>
    <mergeCell ref="I45:J45"/>
    <mergeCell ref="K45:L45"/>
    <mergeCell ref="M45:N45"/>
    <mergeCell ref="O45:P45"/>
    <mergeCell ref="B68:C68"/>
    <mergeCell ref="A71:P71"/>
    <mergeCell ref="A72:P72"/>
    <mergeCell ref="A73:P73"/>
    <mergeCell ref="O46:P46"/>
    <mergeCell ref="M46:N46"/>
    <mergeCell ref="K46:L46"/>
    <mergeCell ref="I46:J46"/>
    <mergeCell ref="C46:G46"/>
    <mergeCell ref="B64:P64"/>
    <mergeCell ref="A66:A67"/>
    <mergeCell ref="B66:C67"/>
    <mergeCell ref="D66:D67"/>
    <mergeCell ref="E66:G66"/>
    <mergeCell ref="H66:J66"/>
    <mergeCell ref="K66:M66"/>
    <mergeCell ref="N66:P66"/>
    <mergeCell ref="C59:G59"/>
    <mergeCell ref="I59:J59"/>
    <mergeCell ref="K59:L59"/>
    <mergeCell ref="M59:N59"/>
    <mergeCell ref="O59:P59"/>
    <mergeCell ref="C60:G60"/>
    <mergeCell ref="I60:J60"/>
    <mergeCell ref="K60:L60"/>
    <mergeCell ref="M60:N60"/>
    <mergeCell ref="O60:P60"/>
    <mergeCell ref="C55:G55"/>
    <mergeCell ref="I55:J55"/>
    <mergeCell ref="K55:L55"/>
    <mergeCell ref="M55:N55"/>
    <mergeCell ref="O55:P55"/>
    <mergeCell ref="C56:G56"/>
    <mergeCell ref="I56:J56"/>
    <mergeCell ref="K56:L56"/>
    <mergeCell ref="M56:N56"/>
    <mergeCell ref="O56:P56"/>
    <mergeCell ref="A57:P57"/>
    <mergeCell ref="A58:P58"/>
    <mergeCell ref="C51:G51"/>
    <mergeCell ref="I51:J51"/>
    <mergeCell ref="K51:L51"/>
    <mergeCell ref="M51:N51"/>
    <mergeCell ref="O51:P51"/>
    <mergeCell ref="C54:G54"/>
    <mergeCell ref="I54:J54"/>
    <mergeCell ref="K54:L54"/>
    <mergeCell ref="M54:N54"/>
    <mergeCell ref="O54:P54"/>
    <mergeCell ref="A52:P52"/>
    <mergeCell ref="A53:P53"/>
    <mergeCell ref="C47:G47"/>
    <mergeCell ref="I47:J47"/>
    <mergeCell ref="K47:L47"/>
    <mergeCell ref="M47:N47"/>
    <mergeCell ref="O47:P47"/>
    <mergeCell ref="C50:G50"/>
    <mergeCell ref="I50:J50"/>
    <mergeCell ref="K50:L50"/>
    <mergeCell ref="M50:N50"/>
    <mergeCell ref="O50:P50"/>
    <mergeCell ref="A48:P48"/>
    <mergeCell ref="A49:P49"/>
    <mergeCell ref="C44:G44"/>
    <mergeCell ref="I44:J44"/>
    <mergeCell ref="K44:L44"/>
    <mergeCell ref="M44:N44"/>
    <mergeCell ref="O44:P44"/>
    <mergeCell ref="C42:G42"/>
    <mergeCell ref="I42:J42"/>
    <mergeCell ref="K42:L42"/>
    <mergeCell ref="M42:N42"/>
    <mergeCell ref="O42:P42"/>
    <mergeCell ref="C43:G43"/>
    <mergeCell ref="I43:J43"/>
    <mergeCell ref="K43:L43"/>
    <mergeCell ref="M43:N43"/>
    <mergeCell ref="O43:P43"/>
    <mergeCell ref="C40:G40"/>
    <mergeCell ref="I40:J40"/>
    <mergeCell ref="K40:L40"/>
    <mergeCell ref="M40:N40"/>
    <mergeCell ref="O40:P40"/>
    <mergeCell ref="C41:P41"/>
    <mergeCell ref="A34:F34"/>
    <mergeCell ref="A35:F35"/>
    <mergeCell ref="B37:P37"/>
    <mergeCell ref="C39:G39"/>
    <mergeCell ref="I39:J39"/>
    <mergeCell ref="K39:L39"/>
    <mergeCell ref="M39:N39"/>
    <mergeCell ref="O39:P39"/>
    <mergeCell ref="K21:L21"/>
    <mergeCell ref="Q25:S25"/>
    <mergeCell ref="T25:V25"/>
    <mergeCell ref="D27:F27"/>
    <mergeCell ref="D28:F28"/>
    <mergeCell ref="B30:P30"/>
    <mergeCell ref="A32:F33"/>
    <mergeCell ref="G32:I32"/>
    <mergeCell ref="J32:L32"/>
    <mergeCell ref="M32:O32"/>
    <mergeCell ref="P32:P33"/>
    <mergeCell ref="A6:P6"/>
    <mergeCell ref="A7:P7"/>
    <mergeCell ref="A8:P8"/>
    <mergeCell ref="C10:P10"/>
    <mergeCell ref="C11:P11"/>
    <mergeCell ref="C12:P1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A61:P61"/>
    <mergeCell ref="A62:P62"/>
    <mergeCell ref="C13:P13"/>
    <mergeCell ref="D14:P14"/>
    <mergeCell ref="D15:P15"/>
    <mergeCell ref="B16:P16"/>
    <mergeCell ref="A18:F18"/>
    <mergeCell ref="G18:L18"/>
    <mergeCell ref="M18:P18"/>
    <mergeCell ref="M21:N21"/>
    <mergeCell ref="B23:P23"/>
    <mergeCell ref="A25:A26"/>
    <mergeCell ref="B25:B26"/>
    <mergeCell ref="C25:C26"/>
    <mergeCell ref="D25:F26"/>
    <mergeCell ref="G25:I25"/>
    <mergeCell ref="J25:L25"/>
    <mergeCell ref="M25:O25"/>
    <mergeCell ref="P25:P26"/>
    <mergeCell ref="A21:B21"/>
    <mergeCell ref="C21:D21"/>
    <mergeCell ref="E21:F21"/>
    <mergeCell ref="G21:H21"/>
    <mergeCell ref="I21:J21"/>
  </mergeCells>
  <pageMargins left="0.19685039370078741" right="0.19685039370078741" top="0.39370078740157483" bottom="0.19685039370078741" header="0.11811023622047245" footer="0.11811023622047245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15"/>
  <sheetViews>
    <sheetView view="pageBreakPreview" topLeftCell="A85" zoomScale="70" zoomScaleSheetLayoutView="70" workbookViewId="0">
      <selection activeCell="I67" sqref="I67:J67"/>
    </sheetView>
  </sheetViews>
  <sheetFormatPr defaultRowHeight="15" x14ac:dyDescent="0.25"/>
  <cols>
    <col min="1" max="1" width="5" style="17" customWidth="1"/>
    <col min="2" max="2" width="10.28515625" style="17" customWidth="1"/>
    <col min="3" max="3" width="9.140625" style="17" customWidth="1"/>
    <col min="4" max="4" width="7.140625" style="17" customWidth="1"/>
    <col min="5" max="5" width="7.85546875" style="17" customWidth="1"/>
    <col min="6" max="6" width="8.85546875" style="17" customWidth="1"/>
    <col min="7" max="8" width="14.42578125" style="17" customWidth="1"/>
    <col min="9" max="9" width="27.140625" style="17" customWidth="1"/>
    <col min="10" max="10" width="25.7109375" style="17" customWidth="1"/>
    <col min="11" max="11" width="13.7109375" style="17" customWidth="1"/>
    <col min="12" max="12" width="14" style="17" customWidth="1"/>
    <col min="13" max="13" width="14.5703125" style="17" customWidth="1"/>
    <col min="14" max="14" width="13.28515625" style="17" customWidth="1"/>
    <col min="15" max="15" width="18" style="17" customWidth="1"/>
    <col min="16" max="16" width="38" style="17" customWidth="1"/>
    <col min="17" max="16384" width="9.140625" style="17"/>
  </cols>
  <sheetData>
    <row r="1" spans="1:16" ht="14.25" customHeight="1" x14ac:dyDescent="0.25">
      <c r="P1" s="5" t="s">
        <v>0</v>
      </c>
    </row>
    <row r="2" spans="1:16" ht="13.5" customHeight="1" x14ac:dyDescent="0.25">
      <c r="P2" s="5" t="s">
        <v>1</v>
      </c>
    </row>
    <row r="3" spans="1:16" ht="12.75" customHeight="1" x14ac:dyDescent="0.25">
      <c r="P3" s="5" t="s">
        <v>2</v>
      </c>
    </row>
    <row r="6" spans="1:16" ht="18" customHeight="1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15.75" customHeight="1" x14ac:dyDescent="0.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5.75" customHeight="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1.25" customHeight="1" x14ac:dyDescent="0.25"/>
    <row r="10" spans="1:16" ht="21.75" customHeight="1" x14ac:dyDescent="0.25">
      <c r="A10" s="19" t="s">
        <v>6</v>
      </c>
      <c r="B10" s="20">
        <v>1000000</v>
      </c>
      <c r="C10" s="21" t="s">
        <v>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2.75" customHeight="1" x14ac:dyDescent="0.25">
      <c r="B11" s="1" t="s">
        <v>7</v>
      </c>
      <c r="C11" s="13" t="s">
        <v>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21" customHeight="1" x14ac:dyDescent="0.25">
      <c r="A12" s="19" t="s">
        <v>9</v>
      </c>
      <c r="B12" s="20">
        <v>1010000</v>
      </c>
      <c r="C12" s="21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2.75" customHeight="1" x14ac:dyDescent="0.25">
      <c r="B13" s="1" t="s">
        <v>7</v>
      </c>
      <c r="C13" s="13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8" customHeight="1" x14ac:dyDescent="0.25">
      <c r="A14" s="19" t="s">
        <v>11</v>
      </c>
      <c r="B14" s="20">
        <v>1011090</v>
      </c>
      <c r="C14" s="22" t="s">
        <v>135</v>
      </c>
      <c r="D14" s="21" t="s">
        <v>136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1.25" customHeight="1" x14ac:dyDescent="0.25">
      <c r="B15" s="1" t="s">
        <v>7</v>
      </c>
      <c r="C15" s="1" t="s">
        <v>12</v>
      </c>
      <c r="D15" s="14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1.75" customHeight="1" x14ac:dyDescent="0.25">
      <c r="A16" s="19" t="s">
        <v>14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22" ht="10.5" customHeight="1" x14ac:dyDescent="0.25">
      <c r="P17" s="2" t="s">
        <v>16</v>
      </c>
    </row>
    <row r="18" spans="1:22" ht="30.75" customHeight="1" x14ac:dyDescent="0.25">
      <c r="A18" s="25" t="s">
        <v>17</v>
      </c>
      <c r="B18" s="25"/>
      <c r="C18" s="25"/>
      <c r="D18" s="25"/>
      <c r="E18" s="25"/>
      <c r="F18" s="25"/>
      <c r="G18" s="25" t="s">
        <v>18</v>
      </c>
      <c r="H18" s="25"/>
      <c r="I18" s="25"/>
      <c r="J18" s="25"/>
      <c r="K18" s="25"/>
      <c r="L18" s="25"/>
      <c r="M18" s="25" t="s">
        <v>22</v>
      </c>
      <c r="N18" s="25"/>
      <c r="O18" s="25"/>
      <c r="P18" s="25"/>
    </row>
    <row r="19" spans="1:22" ht="27.75" customHeight="1" x14ac:dyDescent="0.25">
      <c r="A19" s="26" t="s">
        <v>19</v>
      </c>
      <c r="B19" s="26"/>
      <c r="C19" s="26" t="s">
        <v>20</v>
      </c>
      <c r="D19" s="26"/>
      <c r="E19" s="26" t="s">
        <v>21</v>
      </c>
      <c r="F19" s="26"/>
      <c r="G19" s="26" t="s">
        <v>19</v>
      </c>
      <c r="H19" s="26"/>
      <c r="I19" s="26" t="s">
        <v>20</v>
      </c>
      <c r="J19" s="26"/>
      <c r="K19" s="26" t="s">
        <v>21</v>
      </c>
      <c r="L19" s="26"/>
      <c r="M19" s="26" t="s">
        <v>19</v>
      </c>
      <c r="N19" s="26"/>
      <c r="O19" s="27" t="s">
        <v>20</v>
      </c>
      <c r="P19" s="27" t="s">
        <v>21</v>
      </c>
    </row>
    <row r="20" spans="1:22" s="3" customFormat="1" ht="9" customHeight="1" x14ac:dyDescent="0.2">
      <c r="A20" s="12">
        <v>1</v>
      </c>
      <c r="B20" s="12"/>
      <c r="C20" s="12">
        <v>2</v>
      </c>
      <c r="D20" s="12"/>
      <c r="E20" s="12">
        <v>3</v>
      </c>
      <c r="F20" s="12"/>
      <c r="G20" s="12">
        <v>4</v>
      </c>
      <c r="H20" s="12"/>
      <c r="I20" s="12">
        <v>5</v>
      </c>
      <c r="J20" s="12"/>
      <c r="K20" s="12">
        <v>6</v>
      </c>
      <c r="L20" s="12"/>
      <c r="M20" s="12">
        <v>7</v>
      </c>
      <c r="N20" s="12"/>
      <c r="O20" s="10">
        <v>8</v>
      </c>
      <c r="P20" s="10">
        <v>9</v>
      </c>
    </row>
    <row r="21" spans="1:22" ht="18" customHeight="1" x14ac:dyDescent="0.25">
      <c r="A21" s="70">
        <f>87355792.2/1000</f>
        <v>87355.792199999996</v>
      </c>
      <c r="B21" s="70"/>
      <c r="C21" s="70">
        <f>2941855.09/1000</f>
        <v>2941.85509</v>
      </c>
      <c r="D21" s="70"/>
      <c r="E21" s="70">
        <f>A21+C21</f>
        <v>90297.647289999994</v>
      </c>
      <c r="F21" s="70"/>
      <c r="G21" s="70">
        <f>86847124.7/1000</f>
        <v>86847.1247</v>
      </c>
      <c r="H21" s="70"/>
      <c r="I21" s="70">
        <f>3819523.11/1000</f>
        <v>3819.5231100000001</v>
      </c>
      <c r="J21" s="70"/>
      <c r="K21" s="70">
        <f>G21+I21</f>
        <v>90666.647809999995</v>
      </c>
      <c r="L21" s="70"/>
      <c r="M21" s="70">
        <f>G21-A21</f>
        <v>-508.66749999999593</v>
      </c>
      <c r="N21" s="70"/>
      <c r="O21" s="71">
        <f>I21-C21</f>
        <v>877.66802000000007</v>
      </c>
      <c r="P21" s="72">
        <f>M21+O21</f>
        <v>369.00052000000414</v>
      </c>
    </row>
    <row r="23" spans="1:22" x14ac:dyDescent="0.25">
      <c r="A23" s="19" t="s">
        <v>23</v>
      </c>
      <c r="B23" s="23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22" ht="11.25" customHeight="1" x14ac:dyDescent="0.25">
      <c r="P24" s="2" t="s">
        <v>16</v>
      </c>
    </row>
    <row r="25" spans="1:22" ht="33" customHeight="1" x14ac:dyDescent="0.25">
      <c r="A25" s="25" t="s">
        <v>25</v>
      </c>
      <c r="B25" s="25" t="s">
        <v>26</v>
      </c>
      <c r="C25" s="25" t="s">
        <v>27</v>
      </c>
      <c r="D25" s="25" t="s">
        <v>298</v>
      </c>
      <c r="E25" s="25"/>
      <c r="F25" s="25"/>
      <c r="G25" s="25" t="s">
        <v>28</v>
      </c>
      <c r="H25" s="25"/>
      <c r="I25" s="25"/>
      <c r="J25" s="25" t="s">
        <v>29</v>
      </c>
      <c r="K25" s="25"/>
      <c r="L25" s="25"/>
      <c r="M25" s="25" t="s">
        <v>22</v>
      </c>
      <c r="N25" s="25"/>
      <c r="O25" s="25"/>
      <c r="P25" s="32" t="s">
        <v>30</v>
      </c>
      <c r="Q25" s="33"/>
      <c r="R25" s="33"/>
      <c r="S25" s="33"/>
      <c r="T25" s="33"/>
      <c r="U25" s="33"/>
      <c r="V25" s="33"/>
    </row>
    <row r="26" spans="1:22" ht="28.5" customHeight="1" x14ac:dyDescent="0.25">
      <c r="A26" s="25"/>
      <c r="B26" s="25"/>
      <c r="C26" s="25"/>
      <c r="D26" s="25"/>
      <c r="E26" s="25"/>
      <c r="F26" s="25"/>
      <c r="G26" s="34" t="s">
        <v>19</v>
      </c>
      <c r="H26" s="34" t="s">
        <v>20</v>
      </c>
      <c r="I26" s="34" t="s">
        <v>21</v>
      </c>
      <c r="J26" s="34" t="s">
        <v>19</v>
      </c>
      <c r="K26" s="34" t="s">
        <v>20</v>
      </c>
      <c r="L26" s="34" t="s">
        <v>21</v>
      </c>
      <c r="M26" s="34" t="s">
        <v>19</v>
      </c>
      <c r="N26" s="34" t="s">
        <v>20</v>
      </c>
      <c r="O26" s="34" t="s">
        <v>21</v>
      </c>
      <c r="P26" s="32"/>
    </row>
    <row r="27" spans="1:22" s="4" customFormat="1" ht="10.5" x14ac:dyDescent="0.25">
      <c r="A27" s="10">
        <v>1</v>
      </c>
      <c r="B27" s="10">
        <v>2</v>
      </c>
      <c r="C27" s="10">
        <v>3</v>
      </c>
      <c r="D27" s="12">
        <v>4</v>
      </c>
      <c r="E27" s="12"/>
      <c r="F27" s="12"/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1">
        <v>14</v>
      </c>
    </row>
    <row r="28" spans="1:22" ht="91.5" customHeight="1" x14ac:dyDescent="0.25">
      <c r="A28" s="29">
        <v>1</v>
      </c>
      <c r="B28" s="29">
        <v>1011090</v>
      </c>
      <c r="C28" s="74" t="s">
        <v>135</v>
      </c>
      <c r="D28" s="47" t="s">
        <v>331</v>
      </c>
      <c r="E28" s="15"/>
      <c r="F28" s="15"/>
      <c r="G28" s="9">
        <f>70760625/1000</f>
        <v>70760.625</v>
      </c>
      <c r="H28" s="9">
        <f>912875/1000</f>
        <v>912.875</v>
      </c>
      <c r="I28" s="9">
        <f>G28+H28</f>
        <v>71673.5</v>
      </c>
      <c r="J28" s="9">
        <f>70488836/1000</f>
        <v>70488.835999999996</v>
      </c>
      <c r="K28" s="9">
        <f>1622423.02/1000</f>
        <v>1622.42302</v>
      </c>
      <c r="L28" s="9">
        <f>J28+K28</f>
        <v>72111.259019999998</v>
      </c>
      <c r="M28" s="9">
        <f t="shared" ref="M28:N30" si="0">J28-G28</f>
        <v>-271.78900000000431</v>
      </c>
      <c r="N28" s="9">
        <f t="shared" si="0"/>
        <v>709.54801999999995</v>
      </c>
      <c r="O28" s="9">
        <f>M28+N28</f>
        <v>437.75901999999564</v>
      </c>
      <c r="P28" s="44" t="s">
        <v>300</v>
      </c>
    </row>
    <row r="29" spans="1:22" ht="46.5" customHeight="1" x14ac:dyDescent="0.25">
      <c r="A29" s="29">
        <v>2</v>
      </c>
      <c r="B29" s="29">
        <v>1011090</v>
      </c>
      <c r="C29" s="74" t="s">
        <v>135</v>
      </c>
      <c r="D29" s="47" t="s">
        <v>332</v>
      </c>
      <c r="E29" s="15"/>
      <c r="F29" s="15"/>
      <c r="G29" s="9">
        <f>16595167/1000</f>
        <v>16595.167000000001</v>
      </c>
      <c r="H29" s="9">
        <v>0</v>
      </c>
      <c r="I29" s="9">
        <f>G29+H29</f>
        <v>16595.167000000001</v>
      </c>
      <c r="J29" s="9">
        <f>16358287.62/1000</f>
        <v>16358.287619999999</v>
      </c>
      <c r="K29" s="9">
        <v>0</v>
      </c>
      <c r="L29" s="9">
        <f>J29+K29</f>
        <v>16358.287619999999</v>
      </c>
      <c r="M29" s="9">
        <f t="shared" si="0"/>
        <v>-236.87938000000213</v>
      </c>
      <c r="N29" s="9">
        <f t="shared" si="0"/>
        <v>0</v>
      </c>
      <c r="O29" s="9">
        <f>M29+N29</f>
        <v>-236.87938000000213</v>
      </c>
      <c r="P29" s="44" t="s">
        <v>333</v>
      </c>
    </row>
    <row r="30" spans="1:22" ht="62.25" customHeight="1" x14ac:dyDescent="0.25">
      <c r="A30" s="29">
        <v>3</v>
      </c>
      <c r="B30" s="29">
        <v>1011090</v>
      </c>
      <c r="C30" s="74" t="s">
        <v>135</v>
      </c>
      <c r="D30" s="38" t="s">
        <v>334</v>
      </c>
      <c r="E30" s="39"/>
      <c r="F30" s="40"/>
      <c r="G30" s="9">
        <v>0</v>
      </c>
      <c r="H30" s="9">
        <f>2028980/1000</f>
        <v>2028.98</v>
      </c>
      <c r="I30" s="9">
        <f>G30+H30</f>
        <v>2028.98</v>
      </c>
      <c r="J30" s="9">
        <v>0</v>
      </c>
      <c r="K30" s="9">
        <f>2197100.09/1000</f>
        <v>2197.1000899999999</v>
      </c>
      <c r="L30" s="9">
        <f>J30+K30</f>
        <v>2197.1000899999999</v>
      </c>
      <c r="M30" s="9">
        <f t="shared" si="0"/>
        <v>0</v>
      </c>
      <c r="N30" s="9">
        <f t="shared" si="0"/>
        <v>168.12008999999989</v>
      </c>
      <c r="O30" s="9">
        <f>M30+N30</f>
        <v>168.12008999999989</v>
      </c>
      <c r="P30" s="44" t="s">
        <v>335</v>
      </c>
    </row>
    <row r="31" spans="1:22" ht="12" customHeight="1" x14ac:dyDescent="0.25">
      <c r="D31" s="46"/>
      <c r="E31" s="46"/>
      <c r="F31" s="46"/>
    </row>
    <row r="32" spans="1:22" x14ac:dyDescent="0.25">
      <c r="A32" s="17" t="s">
        <v>31</v>
      </c>
      <c r="B32" s="23" t="s">
        <v>32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11.25" customHeight="1" x14ac:dyDescent="0.25">
      <c r="P33" s="2" t="s">
        <v>16</v>
      </c>
    </row>
    <row r="34" spans="1:16" ht="27.75" customHeight="1" x14ac:dyDescent="0.25">
      <c r="A34" s="25" t="s">
        <v>33</v>
      </c>
      <c r="B34" s="25"/>
      <c r="C34" s="25"/>
      <c r="D34" s="25"/>
      <c r="E34" s="25"/>
      <c r="F34" s="25"/>
      <c r="G34" s="25" t="s">
        <v>28</v>
      </c>
      <c r="H34" s="25"/>
      <c r="I34" s="25"/>
      <c r="J34" s="25" t="s">
        <v>29</v>
      </c>
      <c r="K34" s="25"/>
      <c r="L34" s="25"/>
      <c r="M34" s="25" t="s">
        <v>22</v>
      </c>
      <c r="N34" s="25"/>
      <c r="O34" s="25"/>
      <c r="P34" s="25" t="s">
        <v>30</v>
      </c>
    </row>
    <row r="35" spans="1:16" ht="30" customHeight="1" x14ac:dyDescent="0.25">
      <c r="A35" s="25"/>
      <c r="B35" s="25"/>
      <c r="C35" s="25"/>
      <c r="D35" s="25"/>
      <c r="E35" s="25"/>
      <c r="F35" s="25"/>
      <c r="G35" s="34" t="s">
        <v>19</v>
      </c>
      <c r="H35" s="34" t="s">
        <v>20</v>
      </c>
      <c r="I35" s="34" t="s">
        <v>21</v>
      </c>
      <c r="J35" s="34" t="s">
        <v>19</v>
      </c>
      <c r="K35" s="34" t="s">
        <v>20</v>
      </c>
      <c r="L35" s="34" t="s">
        <v>21</v>
      </c>
      <c r="M35" s="34" t="s">
        <v>19</v>
      </c>
      <c r="N35" s="34" t="s">
        <v>20</v>
      </c>
      <c r="O35" s="34" t="s">
        <v>21</v>
      </c>
      <c r="P35" s="25"/>
    </row>
    <row r="36" spans="1:16" s="4" customFormat="1" ht="10.5" x14ac:dyDescent="0.25">
      <c r="A36" s="12">
        <v>1</v>
      </c>
      <c r="B36" s="12"/>
      <c r="C36" s="12"/>
      <c r="D36" s="12"/>
      <c r="E36" s="12"/>
      <c r="F36" s="12"/>
      <c r="G36" s="10">
        <v>2</v>
      </c>
      <c r="H36" s="10">
        <v>3</v>
      </c>
      <c r="I36" s="10">
        <v>4</v>
      </c>
      <c r="J36" s="10">
        <v>5</v>
      </c>
      <c r="K36" s="10">
        <v>6</v>
      </c>
      <c r="L36" s="10">
        <v>7</v>
      </c>
      <c r="M36" s="10">
        <v>8</v>
      </c>
      <c r="N36" s="10">
        <v>9</v>
      </c>
      <c r="O36" s="10">
        <v>10</v>
      </c>
      <c r="P36" s="10">
        <v>11</v>
      </c>
    </row>
    <row r="37" spans="1:16" ht="118.5" customHeight="1" x14ac:dyDescent="0.25">
      <c r="A37" s="15" t="s">
        <v>54</v>
      </c>
      <c r="B37" s="15"/>
      <c r="C37" s="15"/>
      <c r="D37" s="15"/>
      <c r="E37" s="15"/>
      <c r="F37" s="15"/>
      <c r="G37" s="9">
        <f>16721760/1000</f>
        <v>16721.759999999998</v>
      </c>
      <c r="H37" s="9">
        <f>2028980.09/1000</f>
        <v>2028.98009</v>
      </c>
      <c r="I37" s="9">
        <f>G37+H37</f>
        <v>18750.740089999999</v>
      </c>
      <c r="J37" s="9">
        <f>16489054.46/1000</f>
        <v>16489.054459999999</v>
      </c>
      <c r="K37" s="9">
        <f>2028790.09/1000</f>
        <v>2028.7900900000002</v>
      </c>
      <c r="L37" s="9">
        <f>J37+K37</f>
        <v>18517.844549999998</v>
      </c>
      <c r="M37" s="9">
        <f>J37-G37</f>
        <v>-232.70553999999902</v>
      </c>
      <c r="N37" s="9">
        <f>K37-H37</f>
        <v>-0.1899999999998272</v>
      </c>
      <c r="O37" s="9">
        <f>M37+N37</f>
        <v>-232.89553999999885</v>
      </c>
      <c r="P37" s="6" t="s">
        <v>264</v>
      </c>
    </row>
    <row r="38" spans="1:16" ht="76.5" customHeight="1" x14ac:dyDescent="0.25">
      <c r="A38" s="15" t="s">
        <v>55</v>
      </c>
      <c r="B38" s="15"/>
      <c r="C38" s="15"/>
      <c r="D38" s="15"/>
      <c r="E38" s="15"/>
      <c r="F38" s="15"/>
      <c r="G38" s="9">
        <f>306477/1000</f>
        <v>306.47699999999998</v>
      </c>
      <c r="H38" s="9">
        <v>0</v>
      </c>
      <c r="I38" s="9">
        <f>G38+H38</f>
        <v>306.47699999999998</v>
      </c>
      <c r="J38" s="9">
        <f>110215.58/1000</f>
        <v>110.21558</v>
      </c>
      <c r="K38" s="9">
        <v>0</v>
      </c>
      <c r="L38" s="9">
        <f>J38+K38</f>
        <v>110.21558</v>
      </c>
      <c r="M38" s="9">
        <f>J38-G38</f>
        <v>-196.26141999999999</v>
      </c>
      <c r="N38" s="9">
        <f>K38-H38</f>
        <v>0</v>
      </c>
      <c r="O38" s="9">
        <f>M38+N38</f>
        <v>-196.26141999999999</v>
      </c>
      <c r="P38" s="6" t="s">
        <v>336</v>
      </c>
    </row>
    <row r="39" spans="1:16" ht="9.75" customHeight="1" x14ac:dyDescent="0.25"/>
    <row r="40" spans="1:16" x14ac:dyDescent="0.25">
      <c r="A40" s="17" t="s">
        <v>34</v>
      </c>
      <c r="B40" s="23" t="s">
        <v>35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11.25" customHeight="1" x14ac:dyDescent="0.25">
      <c r="P41" s="2" t="s">
        <v>16</v>
      </c>
    </row>
    <row r="42" spans="1:16" ht="44.25" customHeight="1" x14ac:dyDescent="0.25">
      <c r="A42" s="34" t="s">
        <v>25</v>
      </c>
      <c r="B42" s="34" t="s">
        <v>26</v>
      </c>
      <c r="C42" s="25" t="s">
        <v>36</v>
      </c>
      <c r="D42" s="25"/>
      <c r="E42" s="25"/>
      <c r="F42" s="25"/>
      <c r="G42" s="25"/>
      <c r="H42" s="34" t="s">
        <v>37</v>
      </c>
      <c r="I42" s="25" t="s">
        <v>38</v>
      </c>
      <c r="J42" s="25"/>
      <c r="K42" s="25" t="s">
        <v>28</v>
      </c>
      <c r="L42" s="25"/>
      <c r="M42" s="25" t="s">
        <v>39</v>
      </c>
      <c r="N42" s="25"/>
      <c r="O42" s="25" t="s">
        <v>22</v>
      </c>
      <c r="P42" s="25"/>
    </row>
    <row r="43" spans="1:16" s="4" customFormat="1" ht="8.25" customHeight="1" x14ac:dyDescent="0.25">
      <c r="A43" s="10">
        <v>1</v>
      </c>
      <c r="B43" s="10">
        <v>2</v>
      </c>
      <c r="C43" s="12">
        <v>3</v>
      </c>
      <c r="D43" s="12"/>
      <c r="E43" s="12"/>
      <c r="F43" s="12"/>
      <c r="G43" s="12"/>
      <c r="H43" s="10">
        <v>4</v>
      </c>
      <c r="I43" s="12">
        <v>5</v>
      </c>
      <c r="J43" s="12"/>
      <c r="K43" s="12">
        <v>6</v>
      </c>
      <c r="L43" s="12"/>
      <c r="M43" s="12">
        <v>7</v>
      </c>
      <c r="N43" s="12"/>
      <c r="O43" s="12">
        <v>8</v>
      </c>
      <c r="P43" s="12"/>
    </row>
    <row r="44" spans="1:16" s="36" customFormat="1" ht="18.75" customHeight="1" x14ac:dyDescent="0.25">
      <c r="A44" s="37"/>
      <c r="B44" s="37">
        <v>1011090</v>
      </c>
      <c r="C44" s="38" t="s">
        <v>137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0"/>
    </row>
    <row r="45" spans="1:16" s="36" customFormat="1" ht="21" customHeight="1" x14ac:dyDescent="0.25">
      <c r="A45" s="37">
        <v>1</v>
      </c>
      <c r="B45" s="37"/>
      <c r="C45" s="47" t="s">
        <v>56</v>
      </c>
      <c r="D45" s="47"/>
      <c r="E45" s="47"/>
      <c r="F45" s="47"/>
      <c r="G45" s="47"/>
      <c r="H45" s="29"/>
      <c r="I45" s="28"/>
      <c r="J45" s="28"/>
      <c r="K45" s="28"/>
      <c r="L45" s="28"/>
      <c r="M45" s="28"/>
      <c r="N45" s="28"/>
      <c r="O45" s="28"/>
      <c r="P45" s="28"/>
    </row>
    <row r="46" spans="1:16" s="36" customFormat="1" ht="33.75" customHeight="1" x14ac:dyDescent="0.25">
      <c r="A46" s="37"/>
      <c r="B46" s="37"/>
      <c r="C46" s="15" t="s">
        <v>83</v>
      </c>
      <c r="D46" s="15"/>
      <c r="E46" s="15"/>
      <c r="F46" s="15"/>
      <c r="G46" s="15"/>
      <c r="H46" s="29" t="s">
        <v>58</v>
      </c>
      <c r="I46" s="28" t="s">
        <v>310</v>
      </c>
      <c r="J46" s="28"/>
      <c r="K46" s="30">
        <f>I28</f>
        <v>71673.5</v>
      </c>
      <c r="L46" s="28"/>
      <c r="M46" s="30">
        <f>L28</f>
        <v>72111.259019999998</v>
      </c>
      <c r="N46" s="28"/>
      <c r="O46" s="30">
        <f>M46-K46</f>
        <v>437.75901999999769</v>
      </c>
      <c r="P46" s="28"/>
    </row>
    <row r="47" spans="1:16" s="36" customFormat="1" ht="42" customHeight="1" x14ac:dyDescent="0.25">
      <c r="A47" s="37"/>
      <c r="B47" s="37"/>
      <c r="C47" s="15" t="s">
        <v>125</v>
      </c>
      <c r="D47" s="15"/>
      <c r="E47" s="15"/>
      <c r="F47" s="15"/>
      <c r="G47" s="15"/>
      <c r="H47" s="29" t="s">
        <v>67</v>
      </c>
      <c r="I47" s="28" t="s">
        <v>89</v>
      </c>
      <c r="J47" s="28"/>
      <c r="K47" s="28">
        <v>30</v>
      </c>
      <c r="L47" s="28"/>
      <c r="M47" s="28">
        <v>30</v>
      </c>
      <c r="N47" s="28"/>
      <c r="O47" s="48">
        <f>M47-K47</f>
        <v>0</v>
      </c>
      <c r="P47" s="48"/>
    </row>
    <row r="48" spans="1:16" s="36" customFormat="1" ht="57" customHeight="1" x14ac:dyDescent="0.25">
      <c r="A48" s="37"/>
      <c r="B48" s="37"/>
      <c r="C48" s="15" t="s">
        <v>86</v>
      </c>
      <c r="D48" s="15"/>
      <c r="E48" s="15"/>
      <c r="F48" s="15"/>
      <c r="G48" s="15"/>
      <c r="H48" s="29" t="s">
        <v>67</v>
      </c>
      <c r="I48" s="28" t="s">
        <v>281</v>
      </c>
      <c r="J48" s="28"/>
      <c r="K48" s="28">
        <v>698.82</v>
      </c>
      <c r="L48" s="28"/>
      <c r="M48" s="50">
        <f>((2*697.82)+696.27)/3</f>
        <v>697.30333333333328</v>
      </c>
      <c r="N48" s="50"/>
      <c r="O48" s="51">
        <f>M48-K48</f>
        <v>-1.5166666666667652</v>
      </c>
      <c r="P48" s="51"/>
    </row>
    <row r="49" spans="1:16" s="36" customFormat="1" ht="58.5" customHeight="1" x14ac:dyDescent="0.25">
      <c r="A49" s="37"/>
      <c r="B49" s="37"/>
      <c r="C49" s="15" t="s">
        <v>105</v>
      </c>
      <c r="D49" s="15"/>
      <c r="E49" s="15"/>
      <c r="F49" s="15"/>
      <c r="G49" s="15"/>
      <c r="H49" s="29" t="s">
        <v>67</v>
      </c>
      <c r="I49" s="28" t="s">
        <v>281</v>
      </c>
      <c r="J49" s="28"/>
      <c r="K49" s="28">
        <v>365.55</v>
      </c>
      <c r="L49" s="28"/>
      <c r="M49" s="50">
        <f>((2*413.82)+420.32)/3</f>
        <v>415.98666666666668</v>
      </c>
      <c r="N49" s="50"/>
      <c r="O49" s="51">
        <f>M49-K49</f>
        <v>50.436666666666667</v>
      </c>
      <c r="P49" s="51"/>
    </row>
    <row r="50" spans="1:16" s="36" customFormat="1" ht="60" customHeight="1" x14ac:dyDescent="0.25">
      <c r="A50" s="37"/>
      <c r="B50" s="37"/>
      <c r="C50" s="15" t="s">
        <v>88</v>
      </c>
      <c r="D50" s="15"/>
      <c r="E50" s="15"/>
      <c r="F50" s="15"/>
      <c r="G50" s="15"/>
      <c r="H50" s="29" t="s">
        <v>67</v>
      </c>
      <c r="I50" s="28" t="s">
        <v>281</v>
      </c>
      <c r="J50" s="28"/>
      <c r="K50" s="28">
        <f>K48+K49</f>
        <v>1064.3700000000001</v>
      </c>
      <c r="L50" s="28"/>
      <c r="M50" s="50">
        <f>M48+M49</f>
        <v>1113.29</v>
      </c>
      <c r="N50" s="50"/>
      <c r="O50" s="51">
        <f>M50-K50</f>
        <v>48.919999999999845</v>
      </c>
      <c r="P50" s="51"/>
    </row>
    <row r="51" spans="1:16" s="36" customFormat="1" ht="18" customHeight="1" x14ac:dyDescent="0.25">
      <c r="A51" s="38" t="s">
        <v>233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</row>
    <row r="52" spans="1:16" s="36" customFormat="1" ht="18" customHeight="1" x14ac:dyDescent="0.25">
      <c r="A52" s="52" t="s">
        <v>249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  <row r="53" spans="1:16" s="36" customFormat="1" ht="18" customHeight="1" x14ac:dyDescent="0.25">
      <c r="A53" s="37">
        <v>2</v>
      </c>
      <c r="B53" s="37"/>
      <c r="C53" s="47" t="s">
        <v>64</v>
      </c>
      <c r="D53" s="47"/>
      <c r="E53" s="47"/>
      <c r="F53" s="47"/>
      <c r="G53" s="47"/>
      <c r="H53" s="29"/>
      <c r="I53" s="28"/>
      <c r="J53" s="28"/>
      <c r="K53" s="28"/>
      <c r="L53" s="28"/>
      <c r="M53" s="28"/>
      <c r="N53" s="28"/>
      <c r="O53" s="28"/>
      <c r="P53" s="28"/>
    </row>
    <row r="54" spans="1:16" s="36" customFormat="1" ht="73.5" customHeight="1" x14ac:dyDescent="0.25">
      <c r="A54" s="37"/>
      <c r="B54" s="37"/>
      <c r="C54" s="15" t="s">
        <v>139</v>
      </c>
      <c r="D54" s="15"/>
      <c r="E54" s="15"/>
      <c r="F54" s="15"/>
      <c r="G54" s="15"/>
      <c r="H54" s="29" t="s">
        <v>67</v>
      </c>
      <c r="I54" s="28" t="s">
        <v>250</v>
      </c>
      <c r="J54" s="28"/>
      <c r="K54" s="28">
        <v>20982</v>
      </c>
      <c r="L54" s="28"/>
      <c r="M54" s="49">
        <f>((2*20925)+22372)/3</f>
        <v>21407.333333333332</v>
      </c>
      <c r="N54" s="49"/>
      <c r="O54" s="48">
        <f>M54-K54</f>
        <v>425.33333333333212</v>
      </c>
      <c r="P54" s="48"/>
    </row>
    <row r="55" spans="1:16" s="36" customFormat="1" ht="21" customHeight="1" x14ac:dyDescent="0.25">
      <c r="A55" s="37">
        <v>3</v>
      </c>
      <c r="B55" s="37"/>
      <c r="C55" s="47" t="s">
        <v>68</v>
      </c>
      <c r="D55" s="47"/>
      <c r="E55" s="47"/>
      <c r="F55" s="47"/>
      <c r="G55" s="47"/>
      <c r="H55" s="29"/>
      <c r="I55" s="28"/>
      <c r="J55" s="28"/>
      <c r="K55" s="28"/>
      <c r="L55" s="28"/>
      <c r="M55" s="28"/>
      <c r="N55" s="28"/>
      <c r="O55" s="28"/>
      <c r="P55" s="28"/>
    </row>
    <row r="56" spans="1:16" s="36" customFormat="1" ht="18.75" customHeight="1" x14ac:dyDescent="0.25">
      <c r="A56" s="37"/>
      <c r="B56" s="37"/>
      <c r="C56" s="15" t="s">
        <v>140</v>
      </c>
      <c r="D56" s="15"/>
      <c r="E56" s="15"/>
      <c r="F56" s="15"/>
      <c r="G56" s="15"/>
      <c r="H56" s="29" t="s">
        <v>96</v>
      </c>
      <c r="I56" s="28" t="s">
        <v>72</v>
      </c>
      <c r="J56" s="28"/>
      <c r="K56" s="55">
        <f>K46/K54*1000</f>
        <v>3415.9517681822513</v>
      </c>
      <c r="L56" s="55"/>
      <c r="M56" s="55">
        <f>M46/M54*1000</f>
        <v>3368.5306757808853</v>
      </c>
      <c r="N56" s="55"/>
      <c r="O56" s="48">
        <f>M56-K56</f>
        <v>-47.421092401365968</v>
      </c>
      <c r="P56" s="48"/>
    </row>
    <row r="57" spans="1:16" s="36" customFormat="1" ht="21" customHeight="1" x14ac:dyDescent="0.25">
      <c r="A57" s="37">
        <v>4</v>
      </c>
      <c r="B57" s="37"/>
      <c r="C57" s="47" t="s">
        <v>74</v>
      </c>
      <c r="D57" s="47"/>
      <c r="E57" s="47"/>
      <c r="F57" s="47"/>
      <c r="G57" s="47"/>
      <c r="H57" s="29"/>
      <c r="I57" s="28"/>
      <c r="J57" s="28"/>
      <c r="K57" s="28"/>
      <c r="L57" s="28"/>
      <c r="M57" s="28"/>
      <c r="N57" s="28"/>
      <c r="O57" s="28"/>
      <c r="P57" s="28"/>
    </row>
    <row r="58" spans="1:16" s="36" customFormat="1" ht="26.25" customHeight="1" x14ac:dyDescent="0.25">
      <c r="A58" s="37"/>
      <c r="B58" s="37"/>
      <c r="C58" s="15" t="s">
        <v>141</v>
      </c>
      <c r="D58" s="15"/>
      <c r="E58" s="15"/>
      <c r="F58" s="15"/>
      <c r="G58" s="15"/>
      <c r="H58" s="29" t="s">
        <v>77</v>
      </c>
      <c r="I58" s="28" t="s">
        <v>72</v>
      </c>
      <c r="J58" s="28"/>
      <c r="K58" s="95">
        <f>K54/'1020'!K56:L56*100</f>
        <v>33.826113592029536</v>
      </c>
      <c r="L58" s="95"/>
      <c r="M58" s="95">
        <f>M54/'1020'!M56:N56*100</f>
        <v>34.430957946430482</v>
      </c>
      <c r="N58" s="95"/>
      <c r="O58" s="48">
        <v>0</v>
      </c>
      <c r="P58" s="48"/>
    </row>
    <row r="59" spans="1:16" s="36" customFormat="1" ht="20.25" customHeight="1" x14ac:dyDescent="0.25">
      <c r="A59" s="38" t="s">
        <v>233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40"/>
    </row>
    <row r="60" spans="1:16" s="36" customFormat="1" ht="30" customHeight="1" x14ac:dyDescent="0.25">
      <c r="A60" s="52" t="s">
        <v>337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  <row r="61" spans="1:16" s="36" customFormat="1" ht="18.75" customHeight="1" x14ac:dyDescent="0.25">
      <c r="A61" s="47" t="s">
        <v>240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spans="1:16" s="36" customFormat="1" ht="44.25" customHeight="1" x14ac:dyDescent="0.25">
      <c r="A62" s="52" t="s">
        <v>293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</row>
    <row r="63" spans="1:16" ht="15" customHeight="1" x14ac:dyDescent="0.25">
      <c r="A63" s="37"/>
      <c r="B63" s="37">
        <v>1011090</v>
      </c>
      <c r="C63" s="38" t="s">
        <v>142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0"/>
    </row>
    <row r="64" spans="1:16" x14ac:dyDescent="0.25">
      <c r="A64" s="37">
        <v>1</v>
      </c>
      <c r="B64" s="37"/>
      <c r="C64" s="56" t="s">
        <v>56</v>
      </c>
      <c r="D64" s="56"/>
      <c r="E64" s="56"/>
      <c r="F64" s="56"/>
      <c r="G64" s="56"/>
      <c r="H64" s="57"/>
      <c r="I64" s="58"/>
      <c r="J64" s="58"/>
      <c r="K64" s="58"/>
      <c r="L64" s="58"/>
      <c r="M64" s="58"/>
      <c r="N64" s="58"/>
      <c r="O64" s="58"/>
      <c r="P64" s="58"/>
    </row>
    <row r="65" spans="1:16" ht="31.5" customHeight="1" x14ac:dyDescent="0.25">
      <c r="A65" s="37"/>
      <c r="B65" s="37"/>
      <c r="C65" s="15" t="s">
        <v>57</v>
      </c>
      <c r="D65" s="15"/>
      <c r="E65" s="15"/>
      <c r="F65" s="15"/>
      <c r="G65" s="15"/>
      <c r="H65" s="29" t="s">
        <v>58</v>
      </c>
      <c r="I65" s="28" t="s">
        <v>310</v>
      </c>
      <c r="J65" s="28"/>
      <c r="K65" s="30">
        <f>I29</f>
        <v>16595.167000000001</v>
      </c>
      <c r="L65" s="30"/>
      <c r="M65" s="30">
        <f>L29</f>
        <v>16358.287619999999</v>
      </c>
      <c r="N65" s="30"/>
      <c r="O65" s="30">
        <f>M65-K65</f>
        <v>-236.87938000000213</v>
      </c>
      <c r="P65" s="30"/>
    </row>
    <row r="66" spans="1:16" ht="43.5" customHeight="1" x14ac:dyDescent="0.25">
      <c r="A66" s="37"/>
      <c r="B66" s="37"/>
      <c r="C66" s="15" t="s">
        <v>125</v>
      </c>
      <c r="D66" s="15"/>
      <c r="E66" s="15"/>
      <c r="F66" s="15"/>
      <c r="G66" s="15"/>
      <c r="H66" s="29" t="s">
        <v>58</v>
      </c>
      <c r="I66" s="28" t="s">
        <v>89</v>
      </c>
      <c r="J66" s="28"/>
      <c r="K66" s="48">
        <v>2</v>
      </c>
      <c r="L66" s="48"/>
      <c r="M66" s="48">
        <v>2</v>
      </c>
      <c r="N66" s="48"/>
      <c r="O66" s="48">
        <f>K66-M66</f>
        <v>0</v>
      </c>
      <c r="P66" s="48"/>
    </row>
    <row r="67" spans="1:16" ht="44.25" customHeight="1" x14ac:dyDescent="0.25">
      <c r="A67" s="37"/>
      <c r="B67" s="37"/>
      <c r="C67" s="15" t="s">
        <v>143</v>
      </c>
      <c r="D67" s="15"/>
      <c r="E67" s="15"/>
      <c r="F67" s="15"/>
      <c r="G67" s="15"/>
      <c r="H67" s="29" t="s">
        <v>58</v>
      </c>
      <c r="I67" s="28" t="s">
        <v>281</v>
      </c>
      <c r="J67" s="28"/>
      <c r="K67" s="51">
        <v>30</v>
      </c>
      <c r="L67" s="51"/>
      <c r="M67" s="96">
        <f>((2*K67)+30)/3</f>
        <v>30</v>
      </c>
      <c r="N67" s="96"/>
      <c r="O67" s="51">
        <f>M67-K67</f>
        <v>0</v>
      </c>
      <c r="P67" s="51"/>
    </row>
    <row r="68" spans="1:16" ht="42" customHeight="1" x14ac:dyDescent="0.25">
      <c r="A68" s="37"/>
      <c r="B68" s="37"/>
      <c r="C68" s="15" t="s">
        <v>87</v>
      </c>
      <c r="D68" s="15"/>
      <c r="E68" s="15"/>
      <c r="F68" s="15"/>
      <c r="G68" s="15"/>
      <c r="H68" s="29" t="s">
        <v>58</v>
      </c>
      <c r="I68" s="28" t="s">
        <v>281</v>
      </c>
      <c r="J68" s="28"/>
      <c r="K68" s="51">
        <v>88.44</v>
      </c>
      <c r="L68" s="51"/>
      <c r="M68" s="96">
        <f>((2*K68)+88.44)/3</f>
        <v>88.44</v>
      </c>
      <c r="N68" s="96"/>
      <c r="O68" s="51">
        <f>M68-K68</f>
        <v>0</v>
      </c>
      <c r="P68" s="51"/>
    </row>
    <row r="69" spans="1:16" ht="43.5" customHeight="1" x14ac:dyDescent="0.25">
      <c r="A69" s="37"/>
      <c r="B69" s="37"/>
      <c r="C69" s="52" t="s">
        <v>88</v>
      </c>
      <c r="D69" s="53"/>
      <c r="E69" s="53"/>
      <c r="F69" s="53"/>
      <c r="G69" s="54"/>
      <c r="H69" s="29" t="s">
        <v>58</v>
      </c>
      <c r="I69" s="28" t="s">
        <v>281</v>
      </c>
      <c r="J69" s="28"/>
      <c r="K69" s="97">
        <f>K67+K68</f>
        <v>118.44</v>
      </c>
      <c r="L69" s="98"/>
      <c r="M69" s="97">
        <f>M67+M68</f>
        <v>118.44</v>
      </c>
      <c r="N69" s="98"/>
      <c r="O69" s="51">
        <f>M69-K69</f>
        <v>0</v>
      </c>
      <c r="P69" s="51"/>
    </row>
    <row r="70" spans="1:16" ht="18.75" customHeight="1" x14ac:dyDescent="0.25">
      <c r="A70" s="38" t="s">
        <v>233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40"/>
    </row>
    <row r="71" spans="1:16" ht="15.75" customHeight="1" x14ac:dyDescent="0.25">
      <c r="A71" s="52" t="s">
        <v>251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  <row r="72" spans="1:16" x14ac:dyDescent="0.25">
      <c r="A72" s="37">
        <v>2</v>
      </c>
      <c r="B72" s="37"/>
      <c r="C72" s="47" t="s">
        <v>64</v>
      </c>
      <c r="D72" s="47"/>
      <c r="E72" s="47"/>
      <c r="F72" s="47"/>
      <c r="G72" s="47"/>
      <c r="H72" s="29"/>
      <c r="I72" s="28"/>
      <c r="J72" s="28"/>
      <c r="K72" s="30"/>
      <c r="L72" s="30"/>
      <c r="M72" s="30"/>
      <c r="N72" s="30"/>
      <c r="O72" s="30"/>
      <c r="P72" s="30"/>
    </row>
    <row r="73" spans="1:16" ht="27.75" customHeight="1" x14ac:dyDescent="0.25">
      <c r="A73" s="37"/>
      <c r="B73" s="37"/>
      <c r="C73" s="15" t="s">
        <v>144</v>
      </c>
      <c r="D73" s="15"/>
      <c r="E73" s="15"/>
      <c r="F73" s="15"/>
      <c r="G73" s="15"/>
      <c r="H73" s="29" t="s">
        <v>67</v>
      </c>
      <c r="I73" s="28" t="s">
        <v>62</v>
      </c>
      <c r="J73" s="28"/>
      <c r="K73" s="48">
        <v>3155</v>
      </c>
      <c r="L73" s="48"/>
      <c r="M73" s="48">
        <v>3155</v>
      </c>
      <c r="N73" s="48"/>
      <c r="O73" s="48">
        <f>K73-M73</f>
        <v>0</v>
      </c>
      <c r="P73" s="48"/>
    </row>
    <row r="74" spans="1:16" x14ac:dyDescent="0.25">
      <c r="A74" s="37">
        <v>3</v>
      </c>
      <c r="B74" s="37"/>
      <c r="C74" s="47" t="s">
        <v>68</v>
      </c>
      <c r="D74" s="47"/>
      <c r="E74" s="47"/>
      <c r="F74" s="47"/>
      <c r="G74" s="47"/>
      <c r="H74" s="29"/>
      <c r="I74" s="28"/>
      <c r="J74" s="28"/>
      <c r="K74" s="30"/>
      <c r="L74" s="30"/>
      <c r="M74" s="30"/>
      <c r="N74" s="30"/>
      <c r="O74" s="30"/>
      <c r="P74" s="30"/>
    </row>
    <row r="75" spans="1:16" ht="15" customHeight="1" x14ac:dyDescent="0.25">
      <c r="A75" s="37"/>
      <c r="B75" s="37"/>
      <c r="C75" s="15" t="s">
        <v>145</v>
      </c>
      <c r="D75" s="15"/>
      <c r="E75" s="15"/>
      <c r="F75" s="15"/>
      <c r="G75" s="15"/>
      <c r="H75" s="29" t="s">
        <v>96</v>
      </c>
      <c r="I75" s="28" t="s">
        <v>72</v>
      </c>
      <c r="J75" s="28"/>
      <c r="K75" s="48">
        <f>K65/K73*1000</f>
        <v>5259.9578446909672</v>
      </c>
      <c r="L75" s="48"/>
      <c r="M75" s="48">
        <f>M65/M73*1000</f>
        <v>5184.8772171156888</v>
      </c>
      <c r="N75" s="48"/>
      <c r="O75" s="48">
        <f>M75-K75</f>
        <v>-75.080627575278413</v>
      </c>
      <c r="P75" s="48"/>
    </row>
    <row r="76" spans="1:16" x14ac:dyDescent="0.25">
      <c r="A76" s="37">
        <v>4</v>
      </c>
      <c r="B76" s="37"/>
      <c r="C76" s="47" t="s">
        <v>74</v>
      </c>
      <c r="D76" s="47"/>
      <c r="E76" s="47"/>
      <c r="F76" s="47"/>
      <c r="G76" s="47"/>
      <c r="H76" s="29"/>
      <c r="I76" s="28"/>
      <c r="J76" s="28"/>
      <c r="K76" s="30"/>
      <c r="L76" s="30"/>
      <c r="M76" s="30"/>
      <c r="N76" s="30"/>
      <c r="O76" s="30"/>
      <c r="P76" s="30"/>
    </row>
    <row r="77" spans="1:16" ht="14.25" customHeight="1" x14ac:dyDescent="0.25">
      <c r="A77" s="37"/>
      <c r="B77" s="37"/>
      <c r="C77" s="15" t="s">
        <v>146</v>
      </c>
      <c r="D77" s="15"/>
      <c r="E77" s="15"/>
      <c r="F77" s="15"/>
      <c r="G77" s="15"/>
      <c r="H77" s="29" t="s">
        <v>77</v>
      </c>
      <c r="I77" s="28" t="s">
        <v>72</v>
      </c>
      <c r="J77" s="28"/>
      <c r="K77" s="48">
        <v>100</v>
      </c>
      <c r="L77" s="48"/>
      <c r="M77" s="48">
        <f>M66/K66*100</f>
        <v>100</v>
      </c>
      <c r="N77" s="48"/>
      <c r="O77" s="48">
        <f>K77-M77</f>
        <v>0</v>
      </c>
      <c r="P77" s="48"/>
    </row>
    <row r="78" spans="1:16" ht="18" customHeight="1" x14ac:dyDescent="0.25">
      <c r="A78" s="38" t="s">
        <v>233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/>
    </row>
    <row r="79" spans="1:16" ht="15.75" customHeight="1" x14ac:dyDescent="0.25">
      <c r="A79" s="52" t="s">
        <v>252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</row>
    <row r="80" spans="1:16" ht="18" customHeight="1" x14ac:dyDescent="0.25">
      <c r="A80" s="47" t="s">
        <v>240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spans="1:16" ht="16.5" customHeight="1" x14ac:dyDescent="0.25">
      <c r="A81" s="52" t="s">
        <v>294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  <row r="82" spans="1:16" ht="17.25" customHeight="1" x14ac:dyDescent="0.25">
      <c r="A82" s="37"/>
      <c r="B82" s="37">
        <v>1011090</v>
      </c>
      <c r="C82" s="38" t="s">
        <v>138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40"/>
    </row>
    <row r="83" spans="1:16" ht="18.75" customHeight="1" x14ac:dyDescent="0.25">
      <c r="A83" s="37">
        <v>1</v>
      </c>
      <c r="B83" s="37"/>
      <c r="C83" s="38" t="s">
        <v>56</v>
      </c>
      <c r="D83" s="39"/>
      <c r="E83" s="39"/>
      <c r="F83" s="39"/>
      <c r="G83" s="40"/>
      <c r="H83" s="29"/>
      <c r="I83" s="80"/>
      <c r="J83" s="81"/>
      <c r="K83" s="78"/>
      <c r="L83" s="79"/>
      <c r="M83" s="78"/>
      <c r="N83" s="79"/>
      <c r="O83" s="78"/>
      <c r="P83" s="79"/>
    </row>
    <row r="84" spans="1:16" ht="58.5" customHeight="1" x14ac:dyDescent="0.25">
      <c r="A84" s="37"/>
      <c r="B84" s="37"/>
      <c r="C84" s="52" t="s">
        <v>128</v>
      </c>
      <c r="D84" s="53"/>
      <c r="E84" s="53"/>
      <c r="F84" s="53"/>
      <c r="G84" s="54"/>
      <c r="H84" s="29" t="s">
        <v>58</v>
      </c>
      <c r="I84" s="28" t="s">
        <v>297</v>
      </c>
      <c r="J84" s="28"/>
      <c r="K84" s="76">
        <f>I30</f>
        <v>2028.98</v>
      </c>
      <c r="L84" s="77"/>
      <c r="M84" s="76">
        <f>L30</f>
        <v>2197.1000899999999</v>
      </c>
      <c r="N84" s="77"/>
      <c r="O84" s="76">
        <f>M84-K84</f>
        <v>168.12008999999989</v>
      </c>
      <c r="P84" s="77"/>
    </row>
    <row r="85" spans="1:16" ht="18.75" customHeight="1" x14ac:dyDescent="0.25">
      <c r="A85" s="37">
        <v>2</v>
      </c>
      <c r="B85" s="37"/>
      <c r="C85" s="38" t="s">
        <v>64</v>
      </c>
      <c r="D85" s="39"/>
      <c r="E85" s="39"/>
      <c r="F85" s="39"/>
      <c r="G85" s="40"/>
      <c r="H85" s="29"/>
      <c r="I85" s="80"/>
      <c r="J85" s="81"/>
      <c r="K85" s="78"/>
      <c r="L85" s="79"/>
      <c r="M85" s="78"/>
      <c r="N85" s="79"/>
      <c r="O85" s="78"/>
      <c r="P85" s="79"/>
    </row>
    <row r="86" spans="1:16" ht="30.75" customHeight="1" x14ac:dyDescent="0.25">
      <c r="A86" s="37"/>
      <c r="B86" s="37"/>
      <c r="C86" s="52" t="s">
        <v>147</v>
      </c>
      <c r="D86" s="53"/>
      <c r="E86" s="53"/>
      <c r="F86" s="53"/>
      <c r="G86" s="54"/>
      <c r="H86" s="29" t="s">
        <v>67</v>
      </c>
      <c r="I86" s="28" t="s">
        <v>62</v>
      </c>
      <c r="J86" s="28"/>
      <c r="K86" s="78">
        <v>34</v>
      </c>
      <c r="L86" s="79"/>
      <c r="M86" s="78">
        <v>34</v>
      </c>
      <c r="N86" s="79"/>
      <c r="O86" s="78">
        <f>K86-M86</f>
        <v>0</v>
      </c>
      <c r="P86" s="79"/>
    </row>
    <row r="87" spans="1:16" ht="18.75" customHeight="1" x14ac:dyDescent="0.25">
      <c r="A87" s="37">
        <v>3</v>
      </c>
      <c r="B87" s="37"/>
      <c r="C87" s="38" t="s">
        <v>68</v>
      </c>
      <c r="D87" s="39"/>
      <c r="E87" s="39"/>
      <c r="F87" s="39"/>
      <c r="G87" s="40"/>
      <c r="H87" s="29"/>
      <c r="I87" s="80"/>
      <c r="J87" s="81"/>
      <c r="K87" s="78"/>
      <c r="L87" s="79"/>
      <c r="M87" s="78"/>
      <c r="N87" s="79"/>
      <c r="O87" s="78"/>
      <c r="P87" s="79"/>
    </row>
    <row r="88" spans="1:16" ht="26.25" customHeight="1" x14ac:dyDescent="0.25">
      <c r="A88" s="37"/>
      <c r="B88" s="37"/>
      <c r="C88" s="52" t="s">
        <v>131</v>
      </c>
      <c r="D88" s="53"/>
      <c r="E88" s="53"/>
      <c r="F88" s="53"/>
      <c r="G88" s="54"/>
      <c r="H88" s="29" t="s">
        <v>58</v>
      </c>
      <c r="I88" s="80" t="s">
        <v>72</v>
      </c>
      <c r="J88" s="81"/>
      <c r="K88" s="76">
        <f>K84/K86</f>
        <v>59.67588235294118</v>
      </c>
      <c r="L88" s="77"/>
      <c r="M88" s="76">
        <f>M84/M86</f>
        <v>64.620590882352943</v>
      </c>
      <c r="N88" s="77"/>
      <c r="O88" s="76">
        <f>M88-K88</f>
        <v>4.9447085294117628</v>
      </c>
      <c r="P88" s="77"/>
    </row>
    <row r="89" spans="1:16" ht="18.75" customHeight="1" x14ac:dyDescent="0.25">
      <c r="A89" s="37">
        <v>4</v>
      </c>
      <c r="B89" s="37"/>
      <c r="C89" s="38" t="s">
        <v>74</v>
      </c>
      <c r="D89" s="39"/>
      <c r="E89" s="39"/>
      <c r="F89" s="39"/>
      <c r="G89" s="40"/>
      <c r="H89" s="29"/>
      <c r="I89" s="80"/>
      <c r="J89" s="81"/>
      <c r="K89" s="78"/>
      <c r="L89" s="79"/>
      <c r="M89" s="78"/>
      <c r="N89" s="79"/>
      <c r="O89" s="78"/>
      <c r="P89" s="79"/>
    </row>
    <row r="90" spans="1:16" ht="42.75" customHeight="1" x14ac:dyDescent="0.25">
      <c r="A90" s="37"/>
      <c r="B90" s="37"/>
      <c r="C90" s="52" t="s">
        <v>75</v>
      </c>
      <c r="D90" s="53"/>
      <c r="E90" s="53"/>
      <c r="F90" s="53"/>
      <c r="G90" s="54"/>
      <c r="H90" s="29" t="s">
        <v>77</v>
      </c>
      <c r="I90" s="80" t="s">
        <v>114</v>
      </c>
      <c r="J90" s="81"/>
      <c r="K90" s="78">
        <v>100</v>
      </c>
      <c r="L90" s="79"/>
      <c r="M90" s="78">
        <v>100</v>
      </c>
      <c r="N90" s="79"/>
      <c r="O90" s="78">
        <f>K90-M90</f>
        <v>0</v>
      </c>
      <c r="P90" s="79"/>
    </row>
    <row r="91" spans="1:16" ht="17.25" customHeight="1" x14ac:dyDescent="0.25">
      <c r="A91" s="38" t="s">
        <v>233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40"/>
    </row>
    <row r="92" spans="1:16" ht="15.75" customHeight="1" x14ac:dyDescent="0.25">
      <c r="A92" s="52" t="s">
        <v>265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4"/>
    </row>
    <row r="93" spans="1:16" ht="15.75" customHeight="1" x14ac:dyDescent="0.25">
      <c r="A93" s="47" t="s">
        <v>240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</row>
    <row r="94" spans="1:16" ht="15" customHeight="1" x14ac:dyDescent="0.25">
      <c r="A94" s="52" t="s">
        <v>295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4"/>
    </row>
    <row r="95" spans="1:16" s="82" customFormat="1" ht="9" customHeight="1" x14ac:dyDescent="0.25">
      <c r="H95" s="83"/>
    </row>
    <row r="96" spans="1:16" x14ac:dyDescent="0.25">
      <c r="A96" s="17" t="s">
        <v>40</v>
      </c>
      <c r="B96" s="23" t="s">
        <v>305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1:16" ht="12" customHeight="1" x14ac:dyDescent="0.25">
      <c r="P97" s="2" t="s">
        <v>16</v>
      </c>
    </row>
    <row r="98" spans="1:16" ht="30" customHeight="1" x14ac:dyDescent="0.25">
      <c r="A98" s="59" t="s">
        <v>41</v>
      </c>
      <c r="B98" s="60" t="s">
        <v>42</v>
      </c>
      <c r="C98" s="61"/>
      <c r="D98" s="59" t="s">
        <v>26</v>
      </c>
      <c r="E98" s="25" t="s">
        <v>43</v>
      </c>
      <c r="F98" s="25"/>
      <c r="G98" s="25"/>
      <c r="H98" s="25" t="s">
        <v>44</v>
      </c>
      <c r="I98" s="25"/>
      <c r="J98" s="25"/>
      <c r="K98" s="25" t="s">
        <v>45</v>
      </c>
      <c r="L98" s="25"/>
      <c r="M98" s="25"/>
      <c r="N98" s="25" t="s">
        <v>46</v>
      </c>
      <c r="O98" s="25"/>
      <c r="P98" s="25"/>
    </row>
    <row r="99" spans="1:16" ht="45" x14ac:dyDescent="0.25">
      <c r="A99" s="62"/>
      <c r="B99" s="63"/>
      <c r="C99" s="64"/>
      <c r="D99" s="62"/>
      <c r="E99" s="34" t="s">
        <v>19</v>
      </c>
      <c r="F99" s="34" t="s">
        <v>20</v>
      </c>
      <c r="G99" s="34" t="s">
        <v>21</v>
      </c>
      <c r="H99" s="34" t="s">
        <v>19</v>
      </c>
      <c r="I99" s="34" t="s">
        <v>20</v>
      </c>
      <c r="J99" s="34" t="s">
        <v>21</v>
      </c>
      <c r="K99" s="34" t="s">
        <v>19</v>
      </c>
      <c r="L99" s="34" t="s">
        <v>20</v>
      </c>
      <c r="M99" s="34" t="s">
        <v>21</v>
      </c>
      <c r="N99" s="34" t="s">
        <v>19</v>
      </c>
      <c r="O99" s="34" t="s">
        <v>20</v>
      </c>
      <c r="P99" s="34" t="s">
        <v>21</v>
      </c>
    </row>
    <row r="100" spans="1:16" s="4" customFormat="1" ht="8.25" customHeight="1" x14ac:dyDescent="0.25">
      <c r="A100" s="10">
        <v>1</v>
      </c>
      <c r="B100" s="12">
        <v>2</v>
      </c>
      <c r="C100" s="12"/>
      <c r="D100" s="10">
        <v>3</v>
      </c>
      <c r="E100" s="10">
        <v>4</v>
      </c>
      <c r="F100" s="10">
        <v>5</v>
      </c>
      <c r="G100" s="10">
        <v>6</v>
      </c>
      <c r="H100" s="10">
        <v>7</v>
      </c>
      <c r="I100" s="10">
        <v>8</v>
      </c>
      <c r="J100" s="10">
        <v>9</v>
      </c>
      <c r="K100" s="10">
        <v>10</v>
      </c>
      <c r="L100" s="10">
        <v>11</v>
      </c>
      <c r="M100" s="10">
        <v>12</v>
      </c>
      <c r="N100" s="10">
        <v>13</v>
      </c>
      <c r="O100" s="10">
        <v>14</v>
      </c>
      <c r="P100" s="10">
        <v>15</v>
      </c>
    </row>
    <row r="101" spans="1:16" x14ac:dyDescent="0.25">
      <c r="A101" s="57"/>
      <c r="B101" s="67"/>
      <c r="C101" s="68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</row>
    <row r="102" spans="1:16" ht="5.25" customHeight="1" x14ac:dyDescent="0.25"/>
    <row r="103" spans="1:16" ht="12" customHeight="1" x14ac:dyDescent="0.25">
      <c r="A103" s="23" t="s">
        <v>306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1:16" ht="10.5" customHeight="1" x14ac:dyDescent="0.25">
      <c r="A104" s="23" t="s">
        <v>307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1:16" ht="11.25" customHeight="1" x14ac:dyDescent="0.25">
      <c r="A105" s="23" t="s">
        <v>308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11" spans="1:16" x14ac:dyDescent="0.25">
      <c r="A111" s="65" t="s">
        <v>47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5" t="s">
        <v>48</v>
      </c>
      <c r="N111" s="66"/>
      <c r="O111" s="66"/>
    </row>
    <row r="115" spans="1:13" x14ac:dyDescent="0.25">
      <c r="A115" s="65" t="str">
        <f>'1010'!A116</f>
        <v xml:space="preserve">Спеціаліст І категорії, бухгалтер управління освіти і науки 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 t="str">
        <f>'1010'!M116</f>
        <v>Ю.Філатова</v>
      </c>
    </row>
  </sheetData>
  <mergeCells count="261">
    <mergeCell ref="N98:P98"/>
    <mergeCell ref="B100:C100"/>
    <mergeCell ref="A103:P103"/>
    <mergeCell ref="A104:P104"/>
    <mergeCell ref="A105:P105"/>
    <mergeCell ref="A98:A99"/>
    <mergeCell ref="B98:C99"/>
    <mergeCell ref="D98:D99"/>
    <mergeCell ref="E98:G98"/>
    <mergeCell ref="H98:J98"/>
    <mergeCell ref="K98:M98"/>
    <mergeCell ref="B101:C101"/>
    <mergeCell ref="C90:G90"/>
    <mergeCell ref="I90:J90"/>
    <mergeCell ref="K90:L90"/>
    <mergeCell ref="M90:N90"/>
    <mergeCell ref="O90:P90"/>
    <mergeCell ref="B96:P96"/>
    <mergeCell ref="C88:G88"/>
    <mergeCell ref="I88:J88"/>
    <mergeCell ref="K88:L88"/>
    <mergeCell ref="M88:N88"/>
    <mergeCell ref="O88:P88"/>
    <mergeCell ref="C89:G89"/>
    <mergeCell ref="I89:J89"/>
    <mergeCell ref="K89:L89"/>
    <mergeCell ref="M89:N89"/>
    <mergeCell ref="O89:P89"/>
    <mergeCell ref="A91:P91"/>
    <mergeCell ref="A92:P92"/>
    <mergeCell ref="A93:P93"/>
    <mergeCell ref="A94:P94"/>
    <mergeCell ref="C86:G86"/>
    <mergeCell ref="I86:J86"/>
    <mergeCell ref="K86:L86"/>
    <mergeCell ref="M86:N86"/>
    <mergeCell ref="O86:P86"/>
    <mergeCell ref="C87:G87"/>
    <mergeCell ref="I87:J87"/>
    <mergeCell ref="K87:L87"/>
    <mergeCell ref="M87:N87"/>
    <mergeCell ref="O87:P87"/>
    <mergeCell ref="C84:G84"/>
    <mergeCell ref="I84:J84"/>
    <mergeCell ref="K84:L84"/>
    <mergeCell ref="M84:N84"/>
    <mergeCell ref="O84:P84"/>
    <mergeCell ref="C85:G85"/>
    <mergeCell ref="I85:J85"/>
    <mergeCell ref="K85:L85"/>
    <mergeCell ref="M85:N85"/>
    <mergeCell ref="O85:P85"/>
    <mergeCell ref="C82:P82"/>
    <mergeCell ref="C83:G83"/>
    <mergeCell ref="I83:J83"/>
    <mergeCell ref="K83:L83"/>
    <mergeCell ref="M83:N83"/>
    <mergeCell ref="O83:P83"/>
    <mergeCell ref="C77:G77"/>
    <mergeCell ref="I77:J77"/>
    <mergeCell ref="K77:L77"/>
    <mergeCell ref="M77:N77"/>
    <mergeCell ref="O77:P77"/>
    <mergeCell ref="A78:P78"/>
    <mergeCell ref="A79:P79"/>
    <mergeCell ref="A80:P80"/>
    <mergeCell ref="A81:P81"/>
    <mergeCell ref="C76:G76"/>
    <mergeCell ref="I76:J76"/>
    <mergeCell ref="K76:L76"/>
    <mergeCell ref="M76:N76"/>
    <mergeCell ref="O76:P76"/>
    <mergeCell ref="C74:G74"/>
    <mergeCell ref="I74:J74"/>
    <mergeCell ref="K74:L74"/>
    <mergeCell ref="M74:N74"/>
    <mergeCell ref="O74:P74"/>
    <mergeCell ref="C75:G75"/>
    <mergeCell ref="I75:J75"/>
    <mergeCell ref="K75:L75"/>
    <mergeCell ref="M75:N75"/>
    <mergeCell ref="O75:P75"/>
    <mergeCell ref="C73:G73"/>
    <mergeCell ref="I73:J73"/>
    <mergeCell ref="K73:L73"/>
    <mergeCell ref="M73:N73"/>
    <mergeCell ref="O73:P73"/>
    <mergeCell ref="C69:G69"/>
    <mergeCell ref="I69:J69"/>
    <mergeCell ref="K69:L69"/>
    <mergeCell ref="M69:N69"/>
    <mergeCell ref="O69:P69"/>
    <mergeCell ref="C72:G72"/>
    <mergeCell ref="I72:J72"/>
    <mergeCell ref="K72:L72"/>
    <mergeCell ref="M72:N72"/>
    <mergeCell ref="O72:P72"/>
    <mergeCell ref="A70:P70"/>
    <mergeCell ref="A71:P71"/>
    <mergeCell ref="C67:G67"/>
    <mergeCell ref="I67:J67"/>
    <mergeCell ref="K67:L67"/>
    <mergeCell ref="M67:N67"/>
    <mergeCell ref="O67:P67"/>
    <mergeCell ref="C68:G68"/>
    <mergeCell ref="I68:J68"/>
    <mergeCell ref="K68:L68"/>
    <mergeCell ref="M68:N68"/>
    <mergeCell ref="O68:P68"/>
    <mergeCell ref="C65:G65"/>
    <mergeCell ref="I65:J65"/>
    <mergeCell ref="K65:L65"/>
    <mergeCell ref="M65:N65"/>
    <mergeCell ref="O65:P65"/>
    <mergeCell ref="C66:G66"/>
    <mergeCell ref="I66:J66"/>
    <mergeCell ref="K66:L66"/>
    <mergeCell ref="M66:N66"/>
    <mergeCell ref="O66:P66"/>
    <mergeCell ref="C63:P63"/>
    <mergeCell ref="C64:G64"/>
    <mergeCell ref="I64:J64"/>
    <mergeCell ref="K64:L64"/>
    <mergeCell ref="M64:N64"/>
    <mergeCell ref="O64:P64"/>
    <mergeCell ref="C58:G58"/>
    <mergeCell ref="I58:J58"/>
    <mergeCell ref="K58:L58"/>
    <mergeCell ref="M58:N58"/>
    <mergeCell ref="O58:P58"/>
    <mergeCell ref="A59:P59"/>
    <mergeCell ref="A60:P60"/>
    <mergeCell ref="A61:P61"/>
    <mergeCell ref="A62:P62"/>
    <mergeCell ref="C56:G56"/>
    <mergeCell ref="I56:J56"/>
    <mergeCell ref="K56:L56"/>
    <mergeCell ref="M56:N56"/>
    <mergeCell ref="O56:P56"/>
    <mergeCell ref="C57:G57"/>
    <mergeCell ref="I57:J57"/>
    <mergeCell ref="K57:L57"/>
    <mergeCell ref="M57:N57"/>
    <mergeCell ref="O57:P57"/>
    <mergeCell ref="C54:G54"/>
    <mergeCell ref="I54:J54"/>
    <mergeCell ref="K54:L54"/>
    <mergeCell ref="M54:N54"/>
    <mergeCell ref="O54:P54"/>
    <mergeCell ref="C55:G55"/>
    <mergeCell ref="I55:J55"/>
    <mergeCell ref="K55:L55"/>
    <mergeCell ref="M55:N55"/>
    <mergeCell ref="O55:P55"/>
    <mergeCell ref="C50:G50"/>
    <mergeCell ref="I50:J50"/>
    <mergeCell ref="K50:L50"/>
    <mergeCell ref="M50:N50"/>
    <mergeCell ref="O50:P50"/>
    <mergeCell ref="C53:G53"/>
    <mergeCell ref="I53:J53"/>
    <mergeCell ref="K53:L53"/>
    <mergeCell ref="M53:N53"/>
    <mergeCell ref="O53:P53"/>
    <mergeCell ref="A51:P51"/>
    <mergeCell ref="A52:P52"/>
    <mergeCell ref="C48:G48"/>
    <mergeCell ref="I48:J48"/>
    <mergeCell ref="K48:L48"/>
    <mergeCell ref="M48:N48"/>
    <mergeCell ref="O48:P48"/>
    <mergeCell ref="C49:G49"/>
    <mergeCell ref="I49:J49"/>
    <mergeCell ref="K49:L49"/>
    <mergeCell ref="M49:N49"/>
    <mergeCell ref="O49:P49"/>
    <mergeCell ref="C47:G47"/>
    <mergeCell ref="I47:J47"/>
    <mergeCell ref="K47:L47"/>
    <mergeCell ref="M47:N47"/>
    <mergeCell ref="O47:P47"/>
    <mergeCell ref="C45:G45"/>
    <mergeCell ref="I45:J45"/>
    <mergeCell ref="K45:L45"/>
    <mergeCell ref="M45:N45"/>
    <mergeCell ref="O45:P45"/>
    <mergeCell ref="C46:G46"/>
    <mergeCell ref="I46:J46"/>
    <mergeCell ref="K46:L46"/>
    <mergeCell ref="M46:N46"/>
    <mergeCell ref="O46:P46"/>
    <mergeCell ref="C43:G43"/>
    <mergeCell ref="I43:J43"/>
    <mergeCell ref="K43:L43"/>
    <mergeCell ref="M43:N43"/>
    <mergeCell ref="O43:P43"/>
    <mergeCell ref="C44:P44"/>
    <mergeCell ref="A36:F36"/>
    <mergeCell ref="A37:F37"/>
    <mergeCell ref="A38:F38"/>
    <mergeCell ref="B40:P40"/>
    <mergeCell ref="C42:G42"/>
    <mergeCell ref="I42:J42"/>
    <mergeCell ref="K42:L42"/>
    <mergeCell ref="M42:N42"/>
    <mergeCell ref="O42:P42"/>
    <mergeCell ref="B32:P32"/>
    <mergeCell ref="A34:F35"/>
    <mergeCell ref="G34:I34"/>
    <mergeCell ref="J34:L34"/>
    <mergeCell ref="M34:O34"/>
    <mergeCell ref="P34:P35"/>
    <mergeCell ref="Q25:S25"/>
    <mergeCell ref="T25:V25"/>
    <mergeCell ref="D27:F27"/>
    <mergeCell ref="D28:F28"/>
    <mergeCell ref="D29:F29"/>
    <mergeCell ref="D30:F30"/>
    <mergeCell ref="M21:N21"/>
    <mergeCell ref="B23:P23"/>
    <mergeCell ref="A25:A26"/>
    <mergeCell ref="B25:B26"/>
    <mergeCell ref="C25:C26"/>
    <mergeCell ref="D25:F26"/>
    <mergeCell ref="G25:I25"/>
    <mergeCell ref="J25:L25"/>
    <mergeCell ref="M25:O25"/>
    <mergeCell ref="P25:P26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C13:P13"/>
    <mergeCell ref="D14:P14"/>
    <mergeCell ref="D15:P15"/>
    <mergeCell ref="B16:P16"/>
    <mergeCell ref="A18:F18"/>
    <mergeCell ref="G18:L18"/>
    <mergeCell ref="M18:P18"/>
    <mergeCell ref="A6:P6"/>
    <mergeCell ref="A7:P7"/>
    <mergeCell ref="A8:P8"/>
    <mergeCell ref="C10:P10"/>
    <mergeCell ref="C11:P11"/>
    <mergeCell ref="C12:P12"/>
  </mergeCells>
  <pageMargins left="0.19685039370078741" right="0.19685039370078741" top="0.39370078740157483" bottom="0.19685039370078741" header="0.11811023622047245" footer="0.11811023622047245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09"/>
  <sheetViews>
    <sheetView view="pageBreakPreview" topLeftCell="A73" zoomScale="70" zoomScaleSheetLayoutView="70" workbookViewId="0">
      <selection activeCell="M110" sqref="M110"/>
    </sheetView>
  </sheetViews>
  <sheetFormatPr defaultRowHeight="15" x14ac:dyDescent="0.25"/>
  <cols>
    <col min="1" max="1" width="5" style="17" customWidth="1"/>
    <col min="2" max="2" width="10.28515625" style="17" customWidth="1"/>
    <col min="3" max="3" width="9.140625" style="17" customWidth="1"/>
    <col min="4" max="4" width="7.140625" style="17" customWidth="1"/>
    <col min="5" max="5" width="7.85546875" style="17" customWidth="1"/>
    <col min="6" max="6" width="8.85546875" style="17" customWidth="1"/>
    <col min="7" max="8" width="14.42578125" style="17" customWidth="1"/>
    <col min="9" max="9" width="30.7109375" style="17" customWidth="1"/>
    <col min="10" max="10" width="26" style="17" customWidth="1"/>
    <col min="11" max="11" width="15.28515625" style="17" customWidth="1"/>
    <col min="12" max="12" width="14" style="17" customWidth="1"/>
    <col min="13" max="14" width="14.5703125" style="17" customWidth="1"/>
    <col min="15" max="15" width="18" style="17" customWidth="1"/>
    <col min="16" max="16" width="38" style="17" customWidth="1"/>
    <col min="17" max="16384" width="9.140625" style="17"/>
  </cols>
  <sheetData>
    <row r="1" spans="1:16" ht="14.25" customHeight="1" x14ac:dyDescent="0.25">
      <c r="P1" s="5" t="s">
        <v>0</v>
      </c>
    </row>
    <row r="2" spans="1:16" ht="13.5" customHeight="1" x14ac:dyDescent="0.25">
      <c r="P2" s="5" t="s">
        <v>1</v>
      </c>
    </row>
    <row r="3" spans="1:16" ht="12.75" customHeight="1" x14ac:dyDescent="0.25">
      <c r="P3" s="5" t="s">
        <v>2</v>
      </c>
    </row>
    <row r="6" spans="1:16" ht="15.75" customHeight="1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8" customHeight="1" x14ac:dyDescent="0.25">
      <c r="A7" s="18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5.75" customHeight="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1.25" customHeight="1" x14ac:dyDescent="0.25"/>
    <row r="10" spans="1:16" ht="21" customHeight="1" x14ac:dyDescent="0.25">
      <c r="A10" s="19" t="s">
        <v>6</v>
      </c>
      <c r="B10" s="20">
        <v>1000000</v>
      </c>
      <c r="C10" s="21" t="s">
        <v>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2.75" customHeight="1" x14ac:dyDescent="0.25">
      <c r="B11" s="1" t="s">
        <v>7</v>
      </c>
      <c r="C11" s="13" t="s">
        <v>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20.25" customHeight="1" x14ac:dyDescent="0.25">
      <c r="A12" s="19" t="s">
        <v>9</v>
      </c>
      <c r="B12" s="20">
        <v>1010000</v>
      </c>
      <c r="C12" s="21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9.75" customHeight="1" x14ac:dyDescent="0.25">
      <c r="B13" s="1" t="s">
        <v>7</v>
      </c>
      <c r="C13" s="13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8" customHeight="1" x14ac:dyDescent="0.25">
      <c r="A14" s="19" t="s">
        <v>11</v>
      </c>
      <c r="B14" s="20">
        <v>1011170</v>
      </c>
      <c r="C14" s="22" t="s">
        <v>148</v>
      </c>
      <c r="D14" s="21" t="s">
        <v>149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1.25" customHeight="1" x14ac:dyDescent="0.25">
      <c r="B15" s="1" t="s">
        <v>7</v>
      </c>
      <c r="C15" s="1" t="s">
        <v>12</v>
      </c>
      <c r="D15" s="14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1" customHeight="1" x14ac:dyDescent="0.25">
      <c r="A16" s="19" t="s">
        <v>14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22" ht="10.5" customHeight="1" x14ac:dyDescent="0.25">
      <c r="P17" s="2" t="s">
        <v>16</v>
      </c>
    </row>
    <row r="18" spans="1:22" ht="32.25" customHeight="1" x14ac:dyDescent="0.25">
      <c r="A18" s="25" t="s">
        <v>17</v>
      </c>
      <c r="B18" s="25"/>
      <c r="C18" s="25"/>
      <c r="D18" s="25"/>
      <c r="E18" s="25"/>
      <c r="F18" s="25"/>
      <c r="G18" s="25" t="s">
        <v>18</v>
      </c>
      <c r="H18" s="25"/>
      <c r="I18" s="25"/>
      <c r="J18" s="25"/>
      <c r="K18" s="25"/>
      <c r="L18" s="25"/>
      <c r="M18" s="25" t="s">
        <v>22</v>
      </c>
      <c r="N18" s="25"/>
      <c r="O18" s="25"/>
      <c r="P18" s="25"/>
    </row>
    <row r="19" spans="1:22" ht="27.75" customHeight="1" x14ac:dyDescent="0.25">
      <c r="A19" s="26" t="s">
        <v>19</v>
      </c>
      <c r="B19" s="26"/>
      <c r="C19" s="26" t="s">
        <v>20</v>
      </c>
      <c r="D19" s="26"/>
      <c r="E19" s="26" t="s">
        <v>21</v>
      </c>
      <c r="F19" s="26"/>
      <c r="G19" s="26" t="s">
        <v>19</v>
      </c>
      <c r="H19" s="26"/>
      <c r="I19" s="26" t="s">
        <v>20</v>
      </c>
      <c r="J19" s="26"/>
      <c r="K19" s="26" t="s">
        <v>21</v>
      </c>
      <c r="L19" s="26"/>
      <c r="M19" s="26" t="s">
        <v>19</v>
      </c>
      <c r="N19" s="26"/>
      <c r="O19" s="27" t="s">
        <v>20</v>
      </c>
      <c r="P19" s="27" t="s">
        <v>21</v>
      </c>
    </row>
    <row r="20" spans="1:22" s="3" customFormat="1" ht="9" customHeight="1" x14ac:dyDescent="0.2">
      <c r="A20" s="12">
        <v>1</v>
      </c>
      <c r="B20" s="12"/>
      <c r="C20" s="12">
        <v>2</v>
      </c>
      <c r="D20" s="12"/>
      <c r="E20" s="12">
        <v>3</v>
      </c>
      <c r="F20" s="12"/>
      <c r="G20" s="12">
        <v>4</v>
      </c>
      <c r="H20" s="12"/>
      <c r="I20" s="12">
        <v>5</v>
      </c>
      <c r="J20" s="12"/>
      <c r="K20" s="12">
        <v>6</v>
      </c>
      <c r="L20" s="12"/>
      <c r="M20" s="12">
        <v>7</v>
      </c>
      <c r="N20" s="12"/>
      <c r="O20" s="10">
        <v>8</v>
      </c>
      <c r="P20" s="10">
        <v>9</v>
      </c>
    </row>
    <row r="21" spans="1:22" ht="17.25" customHeight="1" x14ac:dyDescent="0.25">
      <c r="A21" s="30">
        <f>46617791/1000</f>
        <v>46617.790999999997</v>
      </c>
      <c r="B21" s="30"/>
      <c r="C21" s="30">
        <f>43122011/1000</f>
        <v>43122.010999999999</v>
      </c>
      <c r="D21" s="30"/>
      <c r="E21" s="30">
        <f>A21+C21</f>
        <v>89739.801999999996</v>
      </c>
      <c r="F21" s="30"/>
      <c r="G21" s="30">
        <f>43923072.97/1000</f>
        <v>43923.072970000001</v>
      </c>
      <c r="H21" s="30"/>
      <c r="I21" s="30">
        <f>31632729.38/1000</f>
        <v>31632.729380000001</v>
      </c>
      <c r="J21" s="30"/>
      <c r="K21" s="30">
        <f>G21+I21</f>
        <v>75555.802349999998</v>
      </c>
      <c r="L21" s="30"/>
      <c r="M21" s="30">
        <f>G21-A21</f>
        <v>-2694.7180299999964</v>
      </c>
      <c r="N21" s="30"/>
      <c r="O21" s="9">
        <f>I21-C21</f>
        <v>-11489.281619999998</v>
      </c>
      <c r="P21" s="31">
        <f>M21+O21</f>
        <v>-14183.999649999994</v>
      </c>
    </row>
    <row r="23" spans="1:22" x14ac:dyDescent="0.25">
      <c r="A23" s="19" t="s">
        <v>23</v>
      </c>
      <c r="B23" s="23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22" ht="11.25" customHeight="1" x14ac:dyDescent="0.25">
      <c r="P24" s="2" t="s">
        <v>16</v>
      </c>
    </row>
    <row r="25" spans="1:22" ht="31.5" customHeight="1" x14ac:dyDescent="0.25">
      <c r="A25" s="25" t="s">
        <v>25</v>
      </c>
      <c r="B25" s="25" t="s">
        <v>26</v>
      </c>
      <c r="C25" s="25" t="s">
        <v>27</v>
      </c>
      <c r="D25" s="25" t="s">
        <v>298</v>
      </c>
      <c r="E25" s="25"/>
      <c r="F25" s="25"/>
      <c r="G25" s="25" t="s">
        <v>28</v>
      </c>
      <c r="H25" s="25"/>
      <c r="I25" s="25"/>
      <c r="J25" s="25" t="s">
        <v>29</v>
      </c>
      <c r="K25" s="25"/>
      <c r="L25" s="25"/>
      <c r="M25" s="25" t="s">
        <v>22</v>
      </c>
      <c r="N25" s="25"/>
      <c r="O25" s="25"/>
      <c r="P25" s="32" t="s">
        <v>30</v>
      </c>
      <c r="Q25" s="33"/>
      <c r="R25" s="33"/>
      <c r="S25" s="33"/>
      <c r="T25" s="33"/>
      <c r="U25" s="33"/>
      <c r="V25" s="33"/>
    </row>
    <row r="26" spans="1:22" ht="30" customHeight="1" x14ac:dyDescent="0.25">
      <c r="A26" s="25"/>
      <c r="B26" s="25"/>
      <c r="C26" s="25"/>
      <c r="D26" s="25"/>
      <c r="E26" s="25"/>
      <c r="F26" s="25"/>
      <c r="G26" s="34" t="s">
        <v>19</v>
      </c>
      <c r="H26" s="34" t="s">
        <v>20</v>
      </c>
      <c r="I26" s="34" t="s">
        <v>21</v>
      </c>
      <c r="J26" s="34" t="s">
        <v>19</v>
      </c>
      <c r="K26" s="34" t="s">
        <v>20</v>
      </c>
      <c r="L26" s="34" t="s">
        <v>21</v>
      </c>
      <c r="M26" s="34" t="s">
        <v>19</v>
      </c>
      <c r="N26" s="34" t="s">
        <v>20</v>
      </c>
      <c r="O26" s="34" t="s">
        <v>21</v>
      </c>
      <c r="P26" s="32"/>
    </row>
    <row r="27" spans="1:22" s="4" customFormat="1" ht="10.5" x14ac:dyDescent="0.25">
      <c r="A27" s="10">
        <v>1</v>
      </c>
      <c r="B27" s="10">
        <v>2</v>
      </c>
      <c r="C27" s="10">
        <v>3</v>
      </c>
      <c r="D27" s="12">
        <v>4</v>
      </c>
      <c r="E27" s="12"/>
      <c r="F27" s="12"/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1">
        <v>14</v>
      </c>
    </row>
    <row r="28" spans="1:22" ht="60" customHeight="1" x14ac:dyDescent="0.25">
      <c r="A28" s="29">
        <v>1</v>
      </c>
      <c r="B28" s="29">
        <v>1011170</v>
      </c>
      <c r="C28" s="74" t="s">
        <v>148</v>
      </c>
      <c r="D28" s="47" t="s">
        <v>338</v>
      </c>
      <c r="E28" s="15"/>
      <c r="F28" s="15"/>
      <c r="G28" s="9">
        <f>10515030/1000</f>
        <v>10515.03</v>
      </c>
      <c r="H28" s="9">
        <v>0</v>
      </c>
      <c r="I28" s="9">
        <f>G28+H28</f>
        <v>10515.03</v>
      </c>
      <c r="J28" s="9">
        <f>G21-J29</f>
        <v>9166.075069999999</v>
      </c>
      <c r="K28" s="9">
        <v>0</v>
      </c>
      <c r="L28" s="9">
        <f>J28+K28</f>
        <v>9166.075069999999</v>
      </c>
      <c r="M28" s="9">
        <f>J28-G28</f>
        <v>-1348.9549300000017</v>
      </c>
      <c r="N28" s="9">
        <f>K28-H28</f>
        <v>0</v>
      </c>
      <c r="O28" s="9">
        <f>M28+N28</f>
        <v>-1348.9549300000017</v>
      </c>
      <c r="P28" s="44" t="s">
        <v>343</v>
      </c>
    </row>
    <row r="29" spans="1:22" ht="167.25" customHeight="1" x14ac:dyDescent="0.25">
      <c r="A29" s="29">
        <v>2</v>
      </c>
      <c r="B29" s="29">
        <v>1011170</v>
      </c>
      <c r="C29" s="74" t="s">
        <v>148</v>
      </c>
      <c r="D29" s="47" t="s">
        <v>339</v>
      </c>
      <c r="E29" s="15"/>
      <c r="F29" s="15"/>
      <c r="G29" s="71">
        <f>36102761/1000</f>
        <v>36102.760999999999</v>
      </c>
      <c r="H29" s="9">
        <f>43122011/1000</f>
        <v>43122.010999999999</v>
      </c>
      <c r="I29" s="9">
        <f>G29+H29</f>
        <v>79224.771999999997</v>
      </c>
      <c r="J29" s="9">
        <f>34756997.9/1000</f>
        <v>34756.997900000002</v>
      </c>
      <c r="K29" s="9">
        <f>31632729.38/1000</f>
        <v>31632.729380000001</v>
      </c>
      <c r="L29" s="9">
        <f>J29+K29</f>
        <v>66389.727280000006</v>
      </c>
      <c r="M29" s="9">
        <f>J29-G29</f>
        <v>-1345.7630999999965</v>
      </c>
      <c r="N29" s="9">
        <f>K29-H29</f>
        <v>-11489.281619999998</v>
      </c>
      <c r="O29" s="9">
        <f>M29+N29</f>
        <v>-12835.044719999994</v>
      </c>
      <c r="P29" s="45" t="s">
        <v>340</v>
      </c>
    </row>
    <row r="30" spans="1:22" ht="12" customHeight="1" x14ac:dyDescent="0.25">
      <c r="D30" s="46"/>
      <c r="E30" s="46"/>
      <c r="F30" s="46"/>
    </row>
    <row r="31" spans="1:22" x14ac:dyDescent="0.25">
      <c r="A31" s="17" t="s">
        <v>31</v>
      </c>
      <c r="B31" s="23" t="s">
        <v>32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22" ht="11.25" customHeight="1" x14ac:dyDescent="0.25">
      <c r="P32" s="2" t="s">
        <v>16</v>
      </c>
    </row>
    <row r="33" spans="1:16" ht="32.25" customHeight="1" x14ac:dyDescent="0.25">
      <c r="A33" s="25" t="s">
        <v>33</v>
      </c>
      <c r="B33" s="25"/>
      <c r="C33" s="25"/>
      <c r="D33" s="25"/>
      <c r="E33" s="25"/>
      <c r="F33" s="25"/>
      <c r="G33" s="25" t="s">
        <v>28</v>
      </c>
      <c r="H33" s="25"/>
      <c r="I33" s="25"/>
      <c r="J33" s="25" t="s">
        <v>29</v>
      </c>
      <c r="K33" s="25"/>
      <c r="L33" s="25"/>
      <c r="M33" s="25" t="s">
        <v>22</v>
      </c>
      <c r="N33" s="25"/>
      <c r="O33" s="25"/>
      <c r="P33" s="25" t="s">
        <v>30</v>
      </c>
    </row>
    <row r="34" spans="1:16" ht="29.25" customHeight="1" x14ac:dyDescent="0.25">
      <c r="A34" s="25"/>
      <c r="B34" s="25"/>
      <c r="C34" s="25"/>
      <c r="D34" s="25"/>
      <c r="E34" s="25"/>
      <c r="F34" s="25"/>
      <c r="G34" s="34" t="s">
        <v>19</v>
      </c>
      <c r="H34" s="34" t="s">
        <v>20</v>
      </c>
      <c r="I34" s="34" t="s">
        <v>21</v>
      </c>
      <c r="J34" s="34" t="s">
        <v>19</v>
      </c>
      <c r="K34" s="34" t="s">
        <v>20</v>
      </c>
      <c r="L34" s="34" t="s">
        <v>21</v>
      </c>
      <c r="M34" s="34" t="s">
        <v>19</v>
      </c>
      <c r="N34" s="34" t="s">
        <v>20</v>
      </c>
      <c r="O34" s="34" t="s">
        <v>21</v>
      </c>
      <c r="P34" s="25"/>
    </row>
    <row r="35" spans="1:16" s="4" customFormat="1" ht="10.5" x14ac:dyDescent="0.25">
      <c r="A35" s="12">
        <v>1</v>
      </c>
      <c r="B35" s="12"/>
      <c r="C35" s="12"/>
      <c r="D35" s="12"/>
      <c r="E35" s="12"/>
      <c r="F35" s="12"/>
      <c r="G35" s="10">
        <v>2</v>
      </c>
      <c r="H35" s="10">
        <v>3</v>
      </c>
      <c r="I35" s="10">
        <v>4</v>
      </c>
      <c r="J35" s="10">
        <v>5</v>
      </c>
      <c r="K35" s="10">
        <v>6</v>
      </c>
      <c r="L35" s="10">
        <v>7</v>
      </c>
      <c r="M35" s="10">
        <v>8</v>
      </c>
      <c r="N35" s="10">
        <v>9</v>
      </c>
      <c r="O35" s="10">
        <v>10</v>
      </c>
      <c r="P35" s="10">
        <v>11</v>
      </c>
    </row>
    <row r="36" spans="1:16" ht="105" customHeight="1" x14ac:dyDescent="0.25">
      <c r="A36" s="15" t="s">
        <v>54</v>
      </c>
      <c r="B36" s="15"/>
      <c r="C36" s="15"/>
      <c r="D36" s="15"/>
      <c r="E36" s="15"/>
      <c r="F36" s="15"/>
      <c r="G36" s="9">
        <f>2223302/1000</f>
        <v>2223.3020000000001</v>
      </c>
      <c r="H36" s="9">
        <f>43122011/1000</f>
        <v>43122.010999999999</v>
      </c>
      <c r="I36" s="9">
        <f>G36+H36</f>
        <v>45345.313000000002</v>
      </c>
      <c r="J36" s="9">
        <f>2223302/1000</f>
        <v>2223.3020000000001</v>
      </c>
      <c r="K36" s="9">
        <f>31632729.38/1000</f>
        <v>31632.729380000001</v>
      </c>
      <c r="L36" s="9">
        <f>J36+K36</f>
        <v>33856.03138</v>
      </c>
      <c r="M36" s="9">
        <f>J36-G36</f>
        <v>0</v>
      </c>
      <c r="N36" s="9">
        <f>K36-H36</f>
        <v>-11489.281619999998</v>
      </c>
      <c r="O36" s="9">
        <f>M36+N36</f>
        <v>-11489.281619999998</v>
      </c>
      <c r="P36" s="6" t="s">
        <v>341</v>
      </c>
    </row>
    <row r="37" spans="1:16" ht="65.25" customHeight="1" x14ac:dyDescent="0.25">
      <c r="A37" s="15" t="s">
        <v>55</v>
      </c>
      <c r="B37" s="15"/>
      <c r="C37" s="15"/>
      <c r="D37" s="15"/>
      <c r="E37" s="15"/>
      <c r="F37" s="15"/>
      <c r="G37" s="9">
        <f>1230000/1000</f>
        <v>1230</v>
      </c>
      <c r="H37" s="9">
        <v>0</v>
      </c>
      <c r="I37" s="9">
        <f>G37+H37</f>
        <v>1230</v>
      </c>
      <c r="J37" s="9">
        <f>1220760.44/1000</f>
        <v>1220.76044</v>
      </c>
      <c r="K37" s="9">
        <v>0</v>
      </c>
      <c r="L37" s="9">
        <f>J37+K37</f>
        <v>1220.76044</v>
      </c>
      <c r="M37" s="9">
        <f>J37-G37</f>
        <v>-9.2395599999999831</v>
      </c>
      <c r="N37" s="9">
        <f>K37-H37</f>
        <v>0</v>
      </c>
      <c r="O37" s="9">
        <f>M37+N37</f>
        <v>-9.2395599999999831</v>
      </c>
      <c r="P37" s="6" t="s">
        <v>342</v>
      </c>
    </row>
    <row r="38" spans="1:16" ht="27.75" customHeight="1" x14ac:dyDescent="0.25"/>
    <row r="39" spans="1:16" x14ac:dyDescent="0.25">
      <c r="A39" s="17" t="s">
        <v>34</v>
      </c>
      <c r="B39" s="23" t="s">
        <v>35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ht="11.25" customHeight="1" x14ac:dyDescent="0.25">
      <c r="P40" s="2" t="s">
        <v>16</v>
      </c>
    </row>
    <row r="41" spans="1:16" ht="45" customHeight="1" x14ac:dyDescent="0.25">
      <c r="A41" s="34" t="s">
        <v>25</v>
      </c>
      <c r="B41" s="34" t="s">
        <v>26</v>
      </c>
      <c r="C41" s="25" t="s">
        <v>36</v>
      </c>
      <c r="D41" s="25"/>
      <c r="E41" s="25"/>
      <c r="F41" s="25"/>
      <c r="G41" s="25"/>
      <c r="H41" s="34" t="s">
        <v>37</v>
      </c>
      <c r="I41" s="25" t="s">
        <v>38</v>
      </c>
      <c r="J41" s="25"/>
      <c r="K41" s="25" t="s">
        <v>28</v>
      </c>
      <c r="L41" s="25"/>
      <c r="M41" s="25" t="s">
        <v>39</v>
      </c>
      <c r="N41" s="25"/>
      <c r="O41" s="25" t="s">
        <v>22</v>
      </c>
      <c r="P41" s="25"/>
    </row>
    <row r="42" spans="1:16" s="4" customFormat="1" ht="8.25" customHeight="1" x14ac:dyDescent="0.25">
      <c r="A42" s="10">
        <v>1</v>
      </c>
      <c r="B42" s="10">
        <v>2</v>
      </c>
      <c r="C42" s="12">
        <v>3</v>
      </c>
      <c r="D42" s="12"/>
      <c r="E42" s="12"/>
      <c r="F42" s="12"/>
      <c r="G42" s="12"/>
      <c r="H42" s="10">
        <v>4</v>
      </c>
      <c r="I42" s="12">
        <v>5</v>
      </c>
      <c r="J42" s="12"/>
      <c r="K42" s="12">
        <v>6</v>
      </c>
      <c r="L42" s="12"/>
      <c r="M42" s="12">
        <v>7</v>
      </c>
      <c r="N42" s="12"/>
      <c r="O42" s="12">
        <v>8</v>
      </c>
      <c r="P42" s="12"/>
    </row>
    <row r="43" spans="1:16" s="36" customFormat="1" ht="18" customHeight="1" x14ac:dyDescent="0.25">
      <c r="A43" s="37"/>
      <c r="B43" s="37">
        <v>1011170</v>
      </c>
      <c r="C43" s="38" t="s">
        <v>150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0"/>
    </row>
    <row r="44" spans="1:16" s="36" customFormat="1" ht="16.5" customHeight="1" x14ac:dyDescent="0.25">
      <c r="A44" s="37">
        <v>1</v>
      </c>
      <c r="B44" s="37"/>
      <c r="C44" s="47" t="s">
        <v>56</v>
      </c>
      <c r="D44" s="47"/>
      <c r="E44" s="47"/>
      <c r="F44" s="47"/>
      <c r="G44" s="47"/>
      <c r="H44" s="29"/>
      <c r="I44" s="28"/>
      <c r="J44" s="28"/>
      <c r="K44" s="28"/>
      <c r="L44" s="28"/>
      <c r="M44" s="28"/>
      <c r="N44" s="28"/>
      <c r="O44" s="28"/>
      <c r="P44" s="28"/>
    </row>
    <row r="45" spans="1:16" s="36" customFormat="1" ht="28.5" customHeight="1" x14ac:dyDescent="0.25">
      <c r="A45" s="37"/>
      <c r="B45" s="37"/>
      <c r="C45" s="15" t="s">
        <v>83</v>
      </c>
      <c r="D45" s="15"/>
      <c r="E45" s="15"/>
      <c r="F45" s="15"/>
      <c r="G45" s="15"/>
      <c r="H45" s="29" t="s">
        <v>58</v>
      </c>
      <c r="I45" s="28" t="s">
        <v>310</v>
      </c>
      <c r="J45" s="28"/>
      <c r="K45" s="30">
        <f>I28</f>
        <v>10515.03</v>
      </c>
      <c r="L45" s="28"/>
      <c r="M45" s="30">
        <f>L28</f>
        <v>9166.075069999999</v>
      </c>
      <c r="N45" s="28"/>
      <c r="O45" s="30">
        <f>M45-K45</f>
        <v>-1348.9549300000017</v>
      </c>
      <c r="P45" s="28"/>
    </row>
    <row r="46" spans="1:16" s="36" customFormat="1" ht="43.5" customHeight="1" x14ac:dyDescent="0.25">
      <c r="A46" s="37"/>
      <c r="B46" s="37"/>
      <c r="C46" s="15" t="s">
        <v>125</v>
      </c>
      <c r="D46" s="15"/>
      <c r="E46" s="15"/>
      <c r="F46" s="15"/>
      <c r="G46" s="15"/>
      <c r="H46" s="29" t="s">
        <v>67</v>
      </c>
      <c r="I46" s="28" t="s">
        <v>89</v>
      </c>
      <c r="J46" s="28"/>
      <c r="K46" s="28">
        <v>1</v>
      </c>
      <c r="L46" s="28"/>
      <c r="M46" s="28">
        <v>1</v>
      </c>
      <c r="N46" s="28"/>
      <c r="O46" s="48">
        <f>K46-M46</f>
        <v>0</v>
      </c>
      <c r="P46" s="48"/>
    </row>
    <row r="47" spans="1:16" s="36" customFormat="1" ht="44.25" customHeight="1" x14ac:dyDescent="0.25">
      <c r="A47" s="37"/>
      <c r="B47" s="37"/>
      <c r="C47" s="15" t="s">
        <v>86</v>
      </c>
      <c r="D47" s="15"/>
      <c r="E47" s="15"/>
      <c r="F47" s="15"/>
      <c r="G47" s="15"/>
      <c r="H47" s="29" t="s">
        <v>67</v>
      </c>
      <c r="I47" s="28" t="s">
        <v>281</v>
      </c>
      <c r="J47" s="28"/>
      <c r="K47" s="28">
        <v>72</v>
      </c>
      <c r="L47" s="28"/>
      <c r="M47" s="50">
        <f>((2*72)+72.5)/3</f>
        <v>72.166666666666671</v>
      </c>
      <c r="N47" s="50"/>
      <c r="O47" s="50">
        <f>M47-K47</f>
        <v>0.1666666666666714</v>
      </c>
      <c r="P47" s="28"/>
    </row>
    <row r="48" spans="1:16" s="36" customFormat="1" ht="45" customHeight="1" x14ac:dyDescent="0.25">
      <c r="A48" s="37"/>
      <c r="B48" s="37"/>
      <c r="C48" s="15" t="s">
        <v>87</v>
      </c>
      <c r="D48" s="15"/>
      <c r="E48" s="15"/>
      <c r="F48" s="15"/>
      <c r="G48" s="15"/>
      <c r="H48" s="29" t="s">
        <v>67</v>
      </c>
      <c r="I48" s="28" t="s">
        <v>281</v>
      </c>
      <c r="J48" s="28"/>
      <c r="K48" s="28">
        <v>12.25</v>
      </c>
      <c r="L48" s="28"/>
      <c r="M48" s="50">
        <f>((2*12.25)+11+1.25)/3</f>
        <v>12.25</v>
      </c>
      <c r="N48" s="50"/>
      <c r="O48" s="50">
        <f>M48-K48</f>
        <v>0</v>
      </c>
      <c r="P48" s="28"/>
    </row>
    <row r="49" spans="1:16" s="36" customFormat="1" ht="46.5" customHeight="1" x14ac:dyDescent="0.25">
      <c r="A49" s="37"/>
      <c r="B49" s="37"/>
      <c r="C49" s="15" t="s">
        <v>88</v>
      </c>
      <c r="D49" s="15"/>
      <c r="E49" s="15"/>
      <c r="F49" s="15"/>
      <c r="G49" s="15"/>
      <c r="H49" s="29" t="s">
        <v>67</v>
      </c>
      <c r="I49" s="28" t="s">
        <v>281</v>
      </c>
      <c r="J49" s="28"/>
      <c r="K49" s="28">
        <f>K48+K47</f>
        <v>84.25</v>
      </c>
      <c r="L49" s="28"/>
      <c r="M49" s="50">
        <f>M47+M48</f>
        <v>84.416666666666671</v>
      </c>
      <c r="N49" s="28"/>
      <c r="O49" s="50">
        <f>M49-K49</f>
        <v>0.1666666666666714</v>
      </c>
      <c r="P49" s="28"/>
    </row>
    <row r="50" spans="1:16" s="36" customFormat="1" ht="20.25" customHeight="1" x14ac:dyDescent="0.25">
      <c r="A50" s="38" t="s">
        <v>233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</row>
    <row r="51" spans="1:16" s="36" customFormat="1" ht="27.75" customHeight="1" x14ac:dyDescent="0.25">
      <c r="A51" s="52" t="s">
        <v>344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  <row r="52" spans="1:16" s="36" customFormat="1" ht="16.5" customHeight="1" x14ac:dyDescent="0.25">
      <c r="A52" s="37">
        <v>2</v>
      </c>
      <c r="B52" s="37"/>
      <c r="C52" s="47" t="s">
        <v>64</v>
      </c>
      <c r="D52" s="47"/>
      <c r="E52" s="47"/>
      <c r="F52" s="47"/>
      <c r="G52" s="47"/>
      <c r="H52" s="29"/>
      <c r="I52" s="28"/>
      <c r="J52" s="28"/>
      <c r="K52" s="28"/>
      <c r="L52" s="28"/>
      <c r="M52" s="28"/>
      <c r="N52" s="28"/>
      <c r="O52" s="28"/>
      <c r="P52" s="28"/>
    </row>
    <row r="53" spans="1:16" s="36" customFormat="1" ht="16.5" customHeight="1" x14ac:dyDescent="0.25">
      <c r="A53" s="37"/>
      <c r="B53" s="37"/>
      <c r="C53" s="15" t="s">
        <v>152</v>
      </c>
      <c r="D53" s="15"/>
      <c r="E53" s="15"/>
      <c r="F53" s="15"/>
      <c r="G53" s="15"/>
      <c r="H53" s="29" t="s">
        <v>67</v>
      </c>
      <c r="I53" s="28" t="s">
        <v>151</v>
      </c>
      <c r="J53" s="28"/>
      <c r="K53" s="28">
        <v>2465</v>
      </c>
      <c r="L53" s="28"/>
      <c r="M53" s="99">
        <f>1265+2267+328+150</f>
        <v>4010</v>
      </c>
      <c r="N53" s="99"/>
      <c r="O53" s="55">
        <f>M53-K53</f>
        <v>1545</v>
      </c>
      <c r="P53" s="55"/>
    </row>
    <row r="54" spans="1:16" s="36" customFormat="1" ht="31.5" customHeight="1" x14ac:dyDescent="0.25">
      <c r="A54" s="37"/>
      <c r="B54" s="37"/>
      <c r="C54" s="15" t="s">
        <v>153</v>
      </c>
      <c r="D54" s="15"/>
      <c r="E54" s="15"/>
      <c r="F54" s="15"/>
      <c r="G54" s="15"/>
      <c r="H54" s="29" t="s">
        <v>154</v>
      </c>
      <c r="I54" s="28" t="s">
        <v>151</v>
      </c>
      <c r="J54" s="28"/>
      <c r="K54" s="28">
        <v>59490</v>
      </c>
      <c r="L54" s="28"/>
      <c r="M54" s="100">
        <f>24600+60760</f>
        <v>85360</v>
      </c>
      <c r="N54" s="100"/>
      <c r="O54" s="55">
        <f>M54-K54</f>
        <v>25870</v>
      </c>
      <c r="P54" s="55"/>
    </row>
    <row r="55" spans="1:16" s="36" customFormat="1" ht="16.5" customHeight="1" x14ac:dyDescent="0.25">
      <c r="A55" s="37">
        <v>3</v>
      </c>
      <c r="B55" s="37"/>
      <c r="C55" s="47" t="s">
        <v>68</v>
      </c>
      <c r="D55" s="47"/>
      <c r="E55" s="47"/>
      <c r="F55" s="47"/>
      <c r="G55" s="47"/>
      <c r="H55" s="29"/>
      <c r="I55" s="28"/>
      <c r="J55" s="28"/>
      <c r="K55" s="28"/>
      <c r="L55" s="28"/>
      <c r="M55" s="28"/>
      <c r="N55" s="28"/>
      <c r="O55" s="28"/>
      <c r="P55" s="28"/>
    </row>
    <row r="56" spans="1:16" s="36" customFormat="1" ht="15.75" customHeight="1" x14ac:dyDescent="0.25">
      <c r="A56" s="37"/>
      <c r="B56" s="37"/>
      <c r="C56" s="15" t="s">
        <v>155</v>
      </c>
      <c r="D56" s="15"/>
      <c r="E56" s="15"/>
      <c r="F56" s="15"/>
      <c r="G56" s="15"/>
      <c r="H56" s="29" t="s">
        <v>154</v>
      </c>
      <c r="I56" s="28" t="s">
        <v>72</v>
      </c>
      <c r="J56" s="28"/>
      <c r="K56" s="55">
        <f>K54/K53</f>
        <v>24.133874239350913</v>
      </c>
      <c r="L56" s="55"/>
      <c r="M56" s="55">
        <f>M54/M53</f>
        <v>21.286783042394013</v>
      </c>
      <c r="N56" s="55"/>
      <c r="O56" s="55">
        <f>M56-K56</f>
        <v>-2.8470911969568995</v>
      </c>
      <c r="P56" s="55"/>
    </row>
    <row r="57" spans="1:16" s="36" customFormat="1" ht="16.5" customHeight="1" x14ac:dyDescent="0.25">
      <c r="A57" s="37">
        <v>4</v>
      </c>
      <c r="B57" s="37"/>
      <c r="C57" s="47" t="s">
        <v>74</v>
      </c>
      <c r="D57" s="47"/>
      <c r="E57" s="47"/>
      <c r="F57" s="47"/>
      <c r="G57" s="47"/>
      <c r="H57" s="29"/>
      <c r="I57" s="28"/>
      <c r="J57" s="28"/>
      <c r="K57" s="28"/>
      <c r="L57" s="28"/>
      <c r="M57" s="28"/>
      <c r="N57" s="28"/>
      <c r="O57" s="28"/>
      <c r="P57" s="28"/>
    </row>
    <row r="58" spans="1:16" s="36" customFormat="1" ht="18" customHeight="1" x14ac:dyDescent="0.25">
      <c r="A58" s="37"/>
      <c r="B58" s="37"/>
      <c r="C58" s="15" t="s">
        <v>156</v>
      </c>
      <c r="D58" s="15"/>
      <c r="E58" s="15"/>
      <c r="F58" s="15"/>
      <c r="G58" s="15"/>
      <c r="H58" s="29" t="s">
        <v>77</v>
      </c>
      <c r="I58" s="28" t="s">
        <v>72</v>
      </c>
      <c r="J58" s="28"/>
      <c r="K58" s="55">
        <f>K54/'1020'!K56:L56*100</f>
        <v>95.906753292814656</v>
      </c>
      <c r="L58" s="55"/>
      <c r="M58" s="55">
        <f>M54/'1020'!M56:N56*100</f>
        <v>137.29064356329482</v>
      </c>
      <c r="N58" s="55"/>
      <c r="O58" s="55">
        <f>M58-K58</f>
        <v>41.383890270480165</v>
      </c>
      <c r="P58" s="55"/>
    </row>
    <row r="59" spans="1:16" s="36" customFormat="1" ht="18.75" customHeight="1" x14ac:dyDescent="0.25">
      <c r="A59" s="38" t="s">
        <v>233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40"/>
    </row>
    <row r="60" spans="1:16" s="36" customFormat="1" ht="33" customHeight="1" x14ac:dyDescent="0.25">
      <c r="A60" s="101" t="s">
        <v>345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3"/>
    </row>
    <row r="61" spans="1:16" s="36" customFormat="1" ht="17.25" customHeight="1" x14ac:dyDescent="0.25">
      <c r="A61" s="47" t="s">
        <v>240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spans="1:16" s="36" customFormat="1" ht="17.25" customHeight="1" x14ac:dyDescent="0.25">
      <c r="A62" s="101" t="s">
        <v>347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3"/>
    </row>
    <row r="63" spans="1:16" ht="20.25" customHeight="1" x14ac:dyDescent="0.25">
      <c r="A63" s="37"/>
      <c r="B63" s="37">
        <v>1011170</v>
      </c>
      <c r="C63" s="38" t="s">
        <v>101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0"/>
    </row>
    <row r="64" spans="1:16" x14ac:dyDescent="0.25">
      <c r="A64" s="37">
        <v>1</v>
      </c>
      <c r="B64" s="37"/>
      <c r="C64" s="56" t="s">
        <v>56</v>
      </c>
      <c r="D64" s="56"/>
      <c r="E64" s="56"/>
      <c r="F64" s="56"/>
      <c r="G64" s="56"/>
      <c r="H64" s="57"/>
      <c r="I64" s="58"/>
      <c r="J64" s="58"/>
      <c r="K64" s="58"/>
      <c r="L64" s="58"/>
      <c r="M64" s="58"/>
      <c r="N64" s="58"/>
      <c r="O64" s="58"/>
      <c r="P64" s="58"/>
    </row>
    <row r="65" spans="1:16" ht="27.75" customHeight="1" x14ac:dyDescent="0.25">
      <c r="A65" s="37"/>
      <c r="B65" s="37"/>
      <c r="C65" s="15" t="s">
        <v>57</v>
      </c>
      <c r="D65" s="15"/>
      <c r="E65" s="15"/>
      <c r="F65" s="15"/>
      <c r="G65" s="15"/>
      <c r="H65" s="29" t="s">
        <v>58</v>
      </c>
      <c r="I65" s="28" t="s">
        <v>310</v>
      </c>
      <c r="J65" s="28"/>
      <c r="K65" s="30">
        <f>I29</f>
        <v>79224.771999999997</v>
      </c>
      <c r="L65" s="30"/>
      <c r="M65" s="30">
        <f>L29</f>
        <v>66389.727280000006</v>
      </c>
      <c r="N65" s="30"/>
      <c r="O65" s="30">
        <f>M65-K65</f>
        <v>-12835.044719999991</v>
      </c>
      <c r="P65" s="30"/>
    </row>
    <row r="66" spans="1:16" ht="28.5" customHeight="1" x14ac:dyDescent="0.25">
      <c r="A66" s="37"/>
      <c r="B66" s="37"/>
      <c r="C66" s="15" t="s">
        <v>59</v>
      </c>
      <c r="D66" s="15"/>
      <c r="E66" s="15"/>
      <c r="F66" s="15"/>
      <c r="G66" s="15"/>
      <c r="H66" s="29" t="s">
        <v>58</v>
      </c>
      <c r="I66" s="28" t="s">
        <v>310</v>
      </c>
      <c r="J66" s="28"/>
      <c r="K66" s="30">
        <f>1762521/1000</f>
        <v>1762.521</v>
      </c>
      <c r="L66" s="30"/>
      <c r="M66" s="30">
        <f>1704620/1000</f>
        <v>1704.62</v>
      </c>
      <c r="N66" s="30"/>
      <c r="O66" s="30">
        <f>M66-K66</f>
        <v>-57.901000000000067</v>
      </c>
      <c r="P66" s="30"/>
    </row>
    <row r="67" spans="1:16" ht="28.5" customHeight="1" x14ac:dyDescent="0.25">
      <c r="A67" s="37"/>
      <c r="B67" s="37"/>
      <c r="C67" s="15" t="s">
        <v>157</v>
      </c>
      <c r="D67" s="15"/>
      <c r="E67" s="15"/>
      <c r="F67" s="15"/>
      <c r="G67" s="15"/>
      <c r="H67" s="29" t="s">
        <v>58</v>
      </c>
      <c r="I67" s="28" t="s">
        <v>310</v>
      </c>
      <c r="J67" s="28"/>
      <c r="K67" s="30">
        <f>472500/1000</f>
        <v>472.5</v>
      </c>
      <c r="L67" s="30"/>
      <c r="M67" s="30">
        <f>472500/1000</f>
        <v>472.5</v>
      </c>
      <c r="N67" s="30"/>
      <c r="O67" s="30">
        <f>M67-K67</f>
        <v>0</v>
      </c>
      <c r="P67" s="30"/>
    </row>
    <row r="68" spans="1:16" ht="29.25" customHeight="1" x14ac:dyDescent="0.25">
      <c r="A68" s="37"/>
      <c r="B68" s="37"/>
      <c r="C68" s="15" t="s">
        <v>158</v>
      </c>
      <c r="D68" s="15"/>
      <c r="E68" s="15"/>
      <c r="F68" s="15"/>
      <c r="G68" s="15"/>
      <c r="H68" s="29" t="s">
        <v>58</v>
      </c>
      <c r="I68" s="28" t="s">
        <v>310</v>
      </c>
      <c r="J68" s="28"/>
      <c r="K68" s="30">
        <f>40886990/1000</f>
        <v>40886.99</v>
      </c>
      <c r="L68" s="30"/>
      <c r="M68" s="30">
        <f>29455609.38/1000</f>
        <v>29455.609379999998</v>
      </c>
      <c r="N68" s="30"/>
      <c r="O68" s="30">
        <f>M68-K68</f>
        <v>-11431.38062</v>
      </c>
      <c r="P68" s="30"/>
    </row>
    <row r="69" spans="1:16" ht="30" customHeight="1" x14ac:dyDescent="0.25">
      <c r="A69" s="37"/>
      <c r="B69" s="37"/>
      <c r="C69" s="52" t="s">
        <v>159</v>
      </c>
      <c r="D69" s="53"/>
      <c r="E69" s="53"/>
      <c r="F69" s="53"/>
      <c r="G69" s="54"/>
      <c r="H69" s="29" t="s">
        <v>58</v>
      </c>
      <c r="I69" s="28" t="s">
        <v>310</v>
      </c>
      <c r="J69" s="28"/>
      <c r="K69" s="104">
        <f>G29</f>
        <v>36102.760999999999</v>
      </c>
      <c r="L69" s="105"/>
      <c r="M69" s="76">
        <f>J29</f>
        <v>34756.997900000002</v>
      </c>
      <c r="N69" s="77"/>
      <c r="O69" s="30">
        <f>M69-K69</f>
        <v>-1345.7630999999965</v>
      </c>
      <c r="P69" s="30"/>
    </row>
    <row r="70" spans="1:16" ht="18" customHeight="1" x14ac:dyDescent="0.25">
      <c r="A70" s="38" t="s">
        <v>233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40"/>
    </row>
    <row r="71" spans="1:16" ht="30.75" customHeight="1" x14ac:dyDescent="0.25">
      <c r="A71" s="52" t="s">
        <v>346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  <row r="72" spans="1:16" x14ac:dyDescent="0.25">
      <c r="A72" s="37">
        <v>2</v>
      </c>
      <c r="B72" s="37"/>
      <c r="C72" s="47" t="s">
        <v>64</v>
      </c>
      <c r="D72" s="47"/>
      <c r="E72" s="47"/>
      <c r="F72" s="47"/>
      <c r="G72" s="47"/>
      <c r="H72" s="29"/>
      <c r="I72" s="28"/>
      <c r="J72" s="28"/>
      <c r="K72" s="30"/>
      <c r="L72" s="30"/>
      <c r="M72" s="30"/>
      <c r="N72" s="30"/>
      <c r="O72" s="30"/>
      <c r="P72" s="30"/>
    </row>
    <row r="73" spans="1:16" ht="39.75" customHeight="1" x14ac:dyDescent="0.25">
      <c r="A73" s="37"/>
      <c r="B73" s="37"/>
      <c r="C73" s="15" t="s">
        <v>63</v>
      </c>
      <c r="D73" s="15"/>
      <c r="E73" s="15"/>
      <c r="F73" s="15"/>
      <c r="G73" s="15"/>
      <c r="H73" s="29" t="s">
        <v>67</v>
      </c>
      <c r="I73" s="28" t="s">
        <v>237</v>
      </c>
      <c r="J73" s="28"/>
      <c r="K73" s="48">
        <v>54</v>
      </c>
      <c r="L73" s="48"/>
      <c r="M73" s="48">
        <v>54</v>
      </c>
      <c r="N73" s="48"/>
      <c r="O73" s="48">
        <f>M73-K73</f>
        <v>0</v>
      </c>
      <c r="P73" s="48"/>
    </row>
    <row r="74" spans="1:16" ht="44.25" customHeight="1" x14ac:dyDescent="0.25">
      <c r="A74" s="37"/>
      <c r="B74" s="37"/>
      <c r="C74" s="15" t="s">
        <v>160</v>
      </c>
      <c r="D74" s="15"/>
      <c r="E74" s="15"/>
      <c r="F74" s="15"/>
      <c r="G74" s="15"/>
      <c r="H74" s="29" t="s">
        <v>67</v>
      </c>
      <c r="I74" s="28" t="s">
        <v>237</v>
      </c>
      <c r="J74" s="28"/>
      <c r="K74" s="48">
        <v>3</v>
      </c>
      <c r="L74" s="48"/>
      <c r="M74" s="48">
        <v>3</v>
      </c>
      <c r="N74" s="48"/>
      <c r="O74" s="48">
        <f>M74-K74</f>
        <v>0</v>
      </c>
      <c r="P74" s="48"/>
    </row>
    <row r="75" spans="1:16" ht="43.5" customHeight="1" x14ac:dyDescent="0.25">
      <c r="A75" s="37"/>
      <c r="B75" s="37"/>
      <c r="C75" s="15" t="s">
        <v>161</v>
      </c>
      <c r="D75" s="15"/>
      <c r="E75" s="15"/>
      <c r="F75" s="15"/>
      <c r="G75" s="15"/>
      <c r="H75" s="29" t="s">
        <v>162</v>
      </c>
      <c r="I75" s="28" t="s">
        <v>238</v>
      </c>
      <c r="J75" s="28"/>
      <c r="K75" s="48">
        <v>67</v>
      </c>
      <c r="L75" s="48"/>
      <c r="M75" s="48">
        <v>46</v>
      </c>
      <c r="N75" s="48"/>
      <c r="O75" s="48">
        <f>M75-K75</f>
        <v>-21</v>
      </c>
      <c r="P75" s="48"/>
    </row>
    <row r="76" spans="1:16" ht="18.75" customHeight="1" x14ac:dyDescent="0.25">
      <c r="A76" s="38" t="s">
        <v>233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40"/>
    </row>
    <row r="77" spans="1:16" ht="18" customHeight="1" x14ac:dyDescent="0.25">
      <c r="A77" s="52" t="s">
        <v>348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  <row r="78" spans="1:16" x14ac:dyDescent="0.25">
      <c r="A78" s="37">
        <v>3</v>
      </c>
      <c r="B78" s="37"/>
      <c r="C78" s="47" t="s">
        <v>68</v>
      </c>
      <c r="D78" s="47"/>
      <c r="E78" s="47"/>
      <c r="F78" s="47"/>
      <c r="G78" s="47"/>
      <c r="H78" s="29"/>
      <c r="I78" s="28"/>
      <c r="J78" s="28"/>
      <c r="K78" s="30"/>
      <c r="L78" s="30"/>
      <c r="M78" s="30"/>
      <c r="N78" s="30"/>
      <c r="O78" s="30"/>
      <c r="P78" s="30"/>
    </row>
    <row r="79" spans="1:16" ht="43.5" customHeight="1" x14ac:dyDescent="0.25">
      <c r="A79" s="37"/>
      <c r="B79" s="37"/>
      <c r="C79" s="15" t="s">
        <v>69</v>
      </c>
      <c r="D79" s="15"/>
      <c r="E79" s="15"/>
      <c r="F79" s="15"/>
      <c r="G79" s="15"/>
      <c r="H79" s="29" t="s">
        <v>58</v>
      </c>
      <c r="I79" s="28" t="s">
        <v>72</v>
      </c>
      <c r="J79" s="28"/>
      <c r="K79" s="30">
        <f>K66/K73</f>
        <v>32.639277777777778</v>
      </c>
      <c r="L79" s="30"/>
      <c r="M79" s="30">
        <f>M66/M73</f>
        <v>31.567037037037036</v>
      </c>
      <c r="N79" s="30"/>
      <c r="O79" s="30" t="s">
        <v>73</v>
      </c>
      <c r="P79" s="30"/>
    </row>
    <row r="80" spans="1:16" ht="29.25" customHeight="1" x14ac:dyDescent="0.25">
      <c r="A80" s="37"/>
      <c r="B80" s="37"/>
      <c r="C80" s="15" t="s">
        <v>163</v>
      </c>
      <c r="D80" s="15"/>
      <c r="E80" s="15"/>
      <c r="F80" s="15"/>
      <c r="G80" s="15"/>
      <c r="H80" s="29" t="s">
        <v>58</v>
      </c>
      <c r="I80" s="28" t="s">
        <v>72</v>
      </c>
      <c r="J80" s="28"/>
      <c r="K80" s="30">
        <f>K67/K74</f>
        <v>157.5</v>
      </c>
      <c r="L80" s="30"/>
      <c r="M80" s="30">
        <f>M67/M74</f>
        <v>157.5</v>
      </c>
      <c r="N80" s="30"/>
      <c r="O80" s="30" t="s">
        <v>73</v>
      </c>
      <c r="P80" s="30"/>
    </row>
    <row r="81" spans="1:16" ht="28.5" customHeight="1" x14ac:dyDescent="0.25">
      <c r="A81" s="37"/>
      <c r="B81" s="37"/>
      <c r="C81" s="15" t="s">
        <v>71</v>
      </c>
      <c r="D81" s="15"/>
      <c r="E81" s="15"/>
      <c r="F81" s="15"/>
      <c r="G81" s="15"/>
      <c r="H81" s="29" t="s">
        <v>58</v>
      </c>
      <c r="I81" s="28" t="s">
        <v>72</v>
      </c>
      <c r="J81" s="28"/>
      <c r="K81" s="30">
        <f>K68/K75</f>
        <v>610.2535820895522</v>
      </c>
      <c r="L81" s="30"/>
      <c r="M81" s="30">
        <f>M68/M75</f>
        <v>640.33933434782602</v>
      </c>
      <c r="N81" s="30"/>
      <c r="O81" s="30" t="s">
        <v>73</v>
      </c>
      <c r="P81" s="30"/>
    </row>
    <row r="82" spans="1:16" x14ac:dyDescent="0.25">
      <c r="A82" s="37">
        <v>4</v>
      </c>
      <c r="B82" s="37"/>
      <c r="C82" s="47" t="s">
        <v>74</v>
      </c>
      <c r="D82" s="47"/>
      <c r="E82" s="47"/>
      <c r="F82" s="47"/>
      <c r="G82" s="47"/>
      <c r="H82" s="29"/>
      <c r="I82" s="28"/>
      <c r="J82" s="28"/>
      <c r="K82" s="30"/>
      <c r="L82" s="30"/>
      <c r="M82" s="30"/>
      <c r="N82" s="30"/>
      <c r="O82" s="30"/>
      <c r="P82" s="30"/>
    </row>
    <row r="83" spans="1:16" ht="41.25" customHeight="1" x14ac:dyDescent="0.25">
      <c r="A83" s="37"/>
      <c r="B83" s="37"/>
      <c r="C83" s="15" t="s">
        <v>75</v>
      </c>
      <c r="D83" s="15"/>
      <c r="E83" s="15"/>
      <c r="F83" s="15"/>
      <c r="G83" s="15"/>
      <c r="H83" s="29" t="s">
        <v>77</v>
      </c>
      <c r="I83" s="28" t="s">
        <v>72</v>
      </c>
      <c r="J83" s="28"/>
      <c r="K83" s="48">
        <v>100</v>
      </c>
      <c r="L83" s="48"/>
      <c r="M83" s="48">
        <f>M66/K66*100</f>
        <v>96.714876021335357</v>
      </c>
      <c r="N83" s="48"/>
      <c r="O83" s="48">
        <f>K83-M83</f>
        <v>3.2851239786646431</v>
      </c>
      <c r="P83" s="48"/>
    </row>
    <row r="84" spans="1:16" ht="27.75" customHeight="1" x14ac:dyDescent="0.25">
      <c r="A84" s="37"/>
      <c r="B84" s="37"/>
      <c r="C84" s="15" t="s">
        <v>76</v>
      </c>
      <c r="D84" s="15"/>
      <c r="E84" s="15"/>
      <c r="F84" s="15"/>
      <c r="G84" s="15"/>
      <c r="H84" s="29" t="s">
        <v>77</v>
      </c>
      <c r="I84" s="28" t="s">
        <v>72</v>
      </c>
      <c r="J84" s="28"/>
      <c r="K84" s="48">
        <v>100</v>
      </c>
      <c r="L84" s="48"/>
      <c r="M84" s="48">
        <f>M68/K68*100</f>
        <v>72.041520738014711</v>
      </c>
      <c r="N84" s="48"/>
      <c r="O84" s="48">
        <f>K84-M84</f>
        <v>27.958479261985289</v>
      </c>
      <c r="P84" s="48"/>
    </row>
    <row r="85" spans="1:16" ht="21" customHeight="1" x14ac:dyDescent="0.25">
      <c r="A85" s="38" t="s">
        <v>233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40"/>
    </row>
    <row r="86" spans="1:16" ht="33" customHeight="1" x14ac:dyDescent="0.25">
      <c r="A86" s="52" t="s">
        <v>349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4"/>
    </row>
    <row r="87" spans="1:16" ht="18.75" customHeight="1" x14ac:dyDescent="0.25">
      <c r="A87" s="47" t="s">
        <v>240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</row>
    <row r="88" spans="1:16" ht="48" customHeight="1" x14ac:dyDescent="0.25">
      <c r="A88" s="52" t="s">
        <v>350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4"/>
    </row>
    <row r="89" spans="1:16" ht="15.75" customHeight="1" x14ac:dyDescent="0.25">
      <c r="H89" s="36"/>
    </row>
    <row r="90" spans="1:16" x14ac:dyDescent="0.25">
      <c r="A90" s="17" t="s">
        <v>40</v>
      </c>
      <c r="B90" s="23" t="s">
        <v>305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1:16" ht="12" customHeight="1" x14ac:dyDescent="0.25">
      <c r="P91" s="2" t="s">
        <v>16</v>
      </c>
    </row>
    <row r="92" spans="1:16" ht="29.25" customHeight="1" x14ac:dyDescent="0.25">
      <c r="A92" s="59" t="s">
        <v>41</v>
      </c>
      <c r="B92" s="60" t="s">
        <v>42</v>
      </c>
      <c r="C92" s="61"/>
      <c r="D92" s="59" t="s">
        <v>26</v>
      </c>
      <c r="E92" s="25" t="s">
        <v>43</v>
      </c>
      <c r="F92" s="25"/>
      <c r="G92" s="25"/>
      <c r="H92" s="25" t="s">
        <v>44</v>
      </c>
      <c r="I92" s="25"/>
      <c r="J92" s="25"/>
      <c r="K92" s="25" t="s">
        <v>45</v>
      </c>
      <c r="L92" s="25"/>
      <c r="M92" s="25"/>
      <c r="N92" s="25" t="s">
        <v>46</v>
      </c>
      <c r="O92" s="25"/>
      <c r="P92" s="25"/>
    </row>
    <row r="93" spans="1:16" ht="45" x14ac:dyDescent="0.25">
      <c r="A93" s="62"/>
      <c r="B93" s="63"/>
      <c r="C93" s="64"/>
      <c r="D93" s="62"/>
      <c r="E93" s="34" t="s">
        <v>19</v>
      </c>
      <c r="F93" s="34" t="s">
        <v>20</v>
      </c>
      <c r="G93" s="34" t="s">
        <v>21</v>
      </c>
      <c r="H93" s="34" t="s">
        <v>19</v>
      </c>
      <c r="I93" s="34" t="s">
        <v>20</v>
      </c>
      <c r="J93" s="34" t="s">
        <v>21</v>
      </c>
      <c r="K93" s="34" t="s">
        <v>19</v>
      </c>
      <c r="L93" s="34" t="s">
        <v>20</v>
      </c>
      <c r="M93" s="34" t="s">
        <v>21</v>
      </c>
      <c r="N93" s="34" t="s">
        <v>19</v>
      </c>
      <c r="O93" s="34" t="s">
        <v>20</v>
      </c>
      <c r="P93" s="34" t="s">
        <v>21</v>
      </c>
    </row>
    <row r="94" spans="1:16" s="4" customFormat="1" ht="8.25" customHeight="1" x14ac:dyDescent="0.25">
      <c r="A94" s="10">
        <v>1</v>
      </c>
      <c r="B94" s="12">
        <v>2</v>
      </c>
      <c r="C94" s="12"/>
      <c r="D94" s="10">
        <v>3</v>
      </c>
      <c r="E94" s="10">
        <v>4</v>
      </c>
      <c r="F94" s="10">
        <v>5</v>
      </c>
      <c r="G94" s="10">
        <v>6</v>
      </c>
      <c r="H94" s="10">
        <v>7</v>
      </c>
      <c r="I94" s="10">
        <v>8</v>
      </c>
      <c r="J94" s="10">
        <v>9</v>
      </c>
      <c r="K94" s="10">
        <v>10</v>
      </c>
      <c r="L94" s="10">
        <v>11</v>
      </c>
      <c r="M94" s="10">
        <v>12</v>
      </c>
      <c r="N94" s="10">
        <v>13</v>
      </c>
      <c r="O94" s="10">
        <v>14</v>
      </c>
      <c r="P94" s="10">
        <v>15</v>
      </c>
    </row>
    <row r="95" spans="1:16" x14ac:dyDescent="0.25">
      <c r="A95" s="57"/>
      <c r="B95" s="67"/>
      <c r="C95" s="68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</row>
    <row r="96" spans="1:16" ht="5.25" customHeight="1" x14ac:dyDescent="0.25"/>
    <row r="97" spans="1:16" ht="12" customHeight="1" x14ac:dyDescent="0.25">
      <c r="A97" s="23" t="s">
        <v>306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1:16" ht="10.5" customHeight="1" x14ac:dyDescent="0.25">
      <c r="A98" s="23" t="s">
        <v>307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1:16" ht="11.25" customHeight="1" x14ac:dyDescent="0.25">
      <c r="A99" s="23" t="s">
        <v>308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5" spans="1:16" x14ac:dyDescent="0.25">
      <c r="A105" s="65" t="s">
        <v>47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5" t="s">
        <v>48</v>
      </c>
      <c r="N105" s="66"/>
      <c r="O105" s="66"/>
    </row>
    <row r="109" spans="1:16" x14ac:dyDescent="0.25">
      <c r="A109" s="65" t="str">
        <f>'1010'!A116</f>
        <v xml:space="preserve">Спеціаліст І категорії, бухгалтер управління освіти і науки 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 t="str">
        <f>'1010'!M116</f>
        <v>Ю.Філатова</v>
      </c>
    </row>
  </sheetData>
  <mergeCells count="247">
    <mergeCell ref="C81:G81"/>
    <mergeCell ref="I81:J81"/>
    <mergeCell ref="K81:L81"/>
    <mergeCell ref="M81:N81"/>
    <mergeCell ref="O81:P81"/>
    <mergeCell ref="C78:G78"/>
    <mergeCell ref="I78:J78"/>
    <mergeCell ref="K78:L78"/>
    <mergeCell ref="A61:P61"/>
    <mergeCell ref="A62:P62"/>
    <mergeCell ref="C69:G69"/>
    <mergeCell ref="I69:J69"/>
    <mergeCell ref="K69:L69"/>
    <mergeCell ref="M69:N69"/>
    <mergeCell ref="O69:P69"/>
    <mergeCell ref="C80:G80"/>
    <mergeCell ref="I80:J80"/>
    <mergeCell ref="K80:L80"/>
    <mergeCell ref="M80:N80"/>
    <mergeCell ref="O80:P80"/>
    <mergeCell ref="C82:G82"/>
    <mergeCell ref="I82:J82"/>
    <mergeCell ref="K82:L82"/>
    <mergeCell ref="M82:N82"/>
    <mergeCell ref="O82:P82"/>
    <mergeCell ref="C83:G83"/>
    <mergeCell ref="I83:J83"/>
    <mergeCell ref="K83:L83"/>
    <mergeCell ref="M83:N83"/>
    <mergeCell ref="O83:P83"/>
    <mergeCell ref="A99:P99"/>
    <mergeCell ref="A92:A93"/>
    <mergeCell ref="B92:C93"/>
    <mergeCell ref="D92:D93"/>
    <mergeCell ref="E92:G92"/>
    <mergeCell ref="H92:J92"/>
    <mergeCell ref="K92:M92"/>
    <mergeCell ref="C84:G84"/>
    <mergeCell ref="I84:J84"/>
    <mergeCell ref="K84:L84"/>
    <mergeCell ref="M84:N84"/>
    <mergeCell ref="O84:P84"/>
    <mergeCell ref="B90:P90"/>
    <mergeCell ref="N92:P92"/>
    <mergeCell ref="B94:C94"/>
    <mergeCell ref="A97:P97"/>
    <mergeCell ref="A98:P98"/>
    <mergeCell ref="A85:P85"/>
    <mergeCell ref="A86:P86"/>
    <mergeCell ref="A87:P87"/>
    <mergeCell ref="A88:P88"/>
    <mergeCell ref="B95:C95"/>
    <mergeCell ref="M78:N78"/>
    <mergeCell ref="O78:P78"/>
    <mergeCell ref="C79:G79"/>
    <mergeCell ref="I79:J79"/>
    <mergeCell ref="K79:L79"/>
    <mergeCell ref="M79:N79"/>
    <mergeCell ref="O79:P79"/>
    <mergeCell ref="C74:G74"/>
    <mergeCell ref="I74:J74"/>
    <mergeCell ref="K74:L74"/>
    <mergeCell ref="M74:N74"/>
    <mergeCell ref="O74:P74"/>
    <mergeCell ref="C75:G75"/>
    <mergeCell ref="I75:J75"/>
    <mergeCell ref="K75:L75"/>
    <mergeCell ref="M75:N75"/>
    <mergeCell ref="O75:P75"/>
    <mergeCell ref="A76:P76"/>
    <mergeCell ref="A77:P77"/>
    <mergeCell ref="C72:G72"/>
    <mergeCell ref="I72:J72"/>
    <mergeCell ref="K72:L72"/>
    <mergeCell ref="M72:N72"/>
    <mergeCell ref="O72:P72"/>
    <mergeCell ref="C73:G73"/>
    <mergeCell ref="I73:J73"/>
    <mergeCell ref="K73:L73"/>
    <mergeCell ref="M73:N73"/>
    <mergeCell ref="O73:P73"/>
    <mergeCell ref="C67:G67"/>
    <mergeCell ref="I67:J67"/>
    <mergeCell ref="K67:L67"/>
    <mergeCell ref="M67:N67"/>
    <mergeCell ref="O67:P67"/>
    <mergeCell ref="C68:G68"/>
    <mergeCell ref="I68:J68"/>
    <mergeCell ref="K68:L68"/>
    <mergeCell ref="M68:N68"/>
    <mergeCell ref="O68:P68"/>
    <mergeCell ref="C65:G65"/>
    <mergeCell ref="I65:J65"/>
    <mergeCell ref="K65:L65"/>
    <mergeCell ref="M65:N65"/>
    <mergeCell ref="O65:P65"/>
    <mergeCell ref="C66:G66"/>
    <mergeCell ref="I66:J66"/>
    <mergeCell ref="K66:L66"/>
    <mergeCell ref="M66:N66"/>
    <mergeCell ref="O66:P66"/>
    <mergeCell ref="C63:P63"/>
    <mergeCell ref="C64:G64"/>
    <mergeCell ref="I64:J64"/>
    <mergeCell ref="K64:L64"/>
    <mergeCell ref="M64:N64"/>
    <mergeCell ref="O64:P64"/>
    <mergeCell ref="C58:G58"/>
    <mergeCell ref="I58:J58"/>
    <mergeCell ref="K58:L58"/>
    <mergeCell ref="M58:N58"/>
    <mergeCell ref="O58:P58"/>
    <mergeCell ref="A59:P59"/>
    <mergeCell ref="A60:P60"/>
    <mergeCell ref="C57:G57"/>
    <mergeCell ref="I57:J57"/>
    <mergeCell ref="K57:L57"/>
    <mergeCell ref="M57:N57"/>
    <mergeCell ref="O57:P57"/>
    <mergeCell ref="C55:G55"/>
    <mergeCell ref="I55:J55"/>
    <mergeCell ref="K55:L55"/>
    <mergeCell ref="M55:N55"/>
    <mergeCell ref="O55:P55"/>
    <mergeCell ref="C56:G56"/>
    <mergeCell ref="I56:J56"/>
    <mergeCell ref="K56:L56"/>
    <mergeCell ref="M56:N56"/>
    <mergeCell ref="O56:P56"/>
    <mergeCell ref="C53:G53"/>
    <mergeCell ref="I53:J53"/>
    <mergeCell ref="K53:L53"/>
    <mergeCell ref="M53:N53"/>
    <mergeCell ref="O53:P53"/>
    <mergeCell ref="C54:G54"/>
    <mergeCell ref="I54:J54"/>
    <mergeCell ref="K54:L54"/>
    <mergeCell ref="M54:N54"/>
    <mergeCell ref="O54:P54"/>
    <mergeCell ref="C49:G49"/>
    <mergeCell ref="I49:J49"/>
    <mergeCell ref="K49:L49"/>
    <mergeCell ref="M49:N49"/>
    <mergeCell ref="O49:P49"/>
    <mergeCell ref="C52:G52"/>
    <mergeCell ref="I52:J52"/>
    <mergeCell ref="K52:L52"/>
    <mergeCell ref="M52:N52"/>
    <mergeCell ref="O52:P52"/>
    <mergeCell ref="A50:P50"/>
    <mergeCell ref="A51:P51"/>
    <mergeCell ref="C47:G47"/>
    <mergeCell ref="I47:J47"/>
    <mergeCell ref="K47:L47"/>
    <mergeCell ref="M47:N47"/>
    <mergeCell ref="O47:P47"/>
    <mergeCell ref="C48:G48"/>
    <mergeCell ref="I48:J48"/>
    <mergeCell ref="K48:L48"/>
    <mergeCell ref="M48:N48"/>
    <mergeCell ref="O48:P48"/>
    <mergeCell ref="C46:G46"/>
    <mergeCell ref="I46:J46"/>
    <mergeCell ref="K46:L46"/>
    <mergeCell ref="M46:N46"/>
    <mergeCell ref="O46:P46"/>
    <mergeCell ref="C44:G44"/>
    <mergeCell ref="I44:J44"/>
    <mergeCell ref="K44:L44"/>
    <mergeCell ref="M44:N44"/>
    <mergeCell ref="O44:P44"/>
    <mergeCell ref="C45:G45"/>
    <mergeCell ref="I45:J45"/>
    <mergeCell ref="K45:L45"/>
    <mergeCell ref="M45:N45"/>
    <mergeCell ref="O45:P45"/>
    <mergeCell ref="C42:G42"/>
    <mergeCell ref="I42:J42"/>
    <mergeCell ref="K42:L42"/>
    <mergeCell ref="M42:N42"/>
    <mergeCell ref="O42:P42"/>
    <mergeCell ref="C43:P43"/>
    <mergeCell ref="A36:F36"/>
    <mergeCell ref="A37:F37"/>
    <mergeCell ref="B39:P39"/>
    <mergeCell ref="C41:G41"/>
    <mergeCell ref="I41:J41"/>
    <mergeCell ref="K41:L41"/>
    <mergeCell ref="M41:N41"/>
    <mergeCell ref="O41:P41"/>
    <mergeCell ref="K21:L21"/>
    <mergeCell ref="A33:F34"/>
    <mergeCell ref="G33:I33"/>
    <mergeCell ref="J33:L33"/>
    <mergeCell ref="M33:O33"/>
    <mergeCell ref="P33:P34"/>
    <mergeCell ref="A35:F35"/>
    <mergeCell ref="Q25:S25"/>
    <mergeCell ref="T25:V25"/>
    <mergeCell ref="D27:F27"/>
    <mergeCell ref="D28:F28"/>
    <mergeCell ref="D29:F29"/>
    <mergeCell ref="B31:P31"/>
    <mergeCell ref="A6:P6"/>
    <mergeCell ref="A7:P7"/>
    <mergeCell ref="A8:P8"/>
    <mergeCell ref="C10:P10"/>
    <mergeCell ref="C11:P11"/>
    <mergeCell ref="C12:P1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A70:P70"/>
    <mergeCell ref="A71:P71"/>
    <mergeCell ref="C13:P13"/>
    <mergeCell ref="D14:P14"/>
    <mergeCell ref="D15:P15"/>
    <mergeCell ref="B16:P16"/>
    <mergeCell ref="A18:F18"/>
    <mergeCell ref="G18:L18"/>
    <mergeCell ref="M18:P18"/>
    <mergeCell ref="M21:N21"/>
    <mergeCell ref="B23:P23"/>
    <mergeCell ref="A25:A26"/>
    <mergeCell ref="B25:B26"/>
    <mergeCell ref="C25:C26"/>
    <mergeCell ref="D25:F26"/>
    <mergeCell ref="G25:I25"/>
    <mergeCell ref="J25:L25"/>
    <mergeCell ref="M25:O25"/>
    <mergeCell ref="P25:P26"/>
    <mergeCell ref="A21:B21"/>
    <mergeCell ref="C21:D21"/>
    <mergeCell ref="E21:F21"/>
    <mergeCell ref="G21:H21"/>
    <mergeCell ref="I21:J21"/>
  </mergeCells>
  <pageMargins left="0.19685039370078741" right="0.19685039370078741" top="0.39370078740157483" bottom="0.19685039370078741" header="0.11811023622047245" footer="0.11811023622047245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74"/>
  <sheetViews>
    <sheetView view="pageBreakPreview" topLeftCell="A31" zoomScale="70" zoomScaleSheetLayoutView="70" workbookViewId="0">
      <selection activeCell="I45" sqref="I45:J45"/>
    </sheetView>
  </sheetViews>
  <sheetFormatPr defaultRowHeight="15" x14ac:dyDescent="0.25"/>
  <cols>
    <col min="1" max="1" width="5" style="17" customWidth="1"/>
    <col min="2" max="2" width="10.28515625" style="17" customWidth="1"/>
    <col min="3" max="3" width="9.140625" style="17" customWidth="1"/>
    <col min="4" max="4" width="8.7109375" style="17" customWidth="1"/>
    <col min="5" max="5" width="7.85546875" style="17" customWidth="1"/>
    <col min="6" max="6" width="8.85546875" style="17" customWidth="1"/>
    <col min="7" max="8" width="14.42578125" style="17" customWidth="1"/>
    <col min="9" max="9" width="30.85546875" style="17" customWidth="1"/>
    <col min="10" max="10" width="26.140625" style="17" customWidth="1"/>
    <col min="11" max="11" width="15.28515625" style="17" customWidth="1"/>
    <col min="12" max="12" width="14" style="17" customWidth="1"/>
    <col min="13" max="13" width="14.5703125" style="17" customWidth="1"/>
    <col min="14" max="14" width="13.42578125" style="17" customWidth="1"/>
    <col min="15" max="15" width="18" style="17" customWidth="1"/>
    <col min="16" max="16" width="38" style="17" customWidth="1"/>
    <col min="17" max="16384" width="9.140625" style="17"/>
  </cols>
  <sheetData>
    <row r="1" spans="1:16" ht="14.25" customHeight="1" x14ac:dyDescent="0.25">
      <c r="P1" s="5" t="s">
        <v>0</v>
      </c>
    </row>
    <row r="2" spans="1:16" ht="13.5" customHeight="1" x14ac:dyDescent="0.25">
      <c r="P2" s="5" t="s">
        <v>1</v>
      </c>
    </row>
    <row r="3" spans="1:16" ht="12.75" customHeight="1" x14ac:dyDescent="0.25">
      <c r="P3" s="5" t="s">
        <v>2</v>
      </c>
    </row>
    <row r="6" spans="1:16" ht="18.75" customHeight="1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24" customHeight="1" x14ac:dyDescent="0.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5.75" customHeight="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1.25" customHeight="1" x14ac:dyDescent="0.25"/>
    <row r="10" spans="1:16" ht="22.5" customHeight="1" x14ac:dyDescent="0.25">
      <c r="A10" s="19" t="s">
        <v>6</v>
      </c>
      <c r="B10" s="20">
        <v>1000000</v>
      </c>
      <c r="C10" s="21" t="s">
        <v>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2.75" customHeight="1" x14ac:dyDescent="0.25">
      <c r="B11" s="1" t="s">
        <v>7</v>
      </c>
      <c r="C11" s="13" t="s">
        <v>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9.5" customHeight="1" x14ac:dyDescent="0.25">
      <c r="A12" s="19" t="s">
        <v>9</v>
      </c>
      <c r="B12" s="20">
        <v>1010000</v>
      </c>
      <c r="C12" s="21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9.75" customHeight="1" x14ac:dyDescent="0.25">
      <c r="B13" s="1" t="s">
        <v>7</v>
      </c>
      <c r="C13" s="13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6.5" customHeight="1" x14ac:dyDescent="0.25">
      <c r="A14" s="19" t="s">
        <v>11</v>
      </c>
      <c r="B14" s="20">
        <v>1011190</v>
      </c>
      <c r="C14" s="22" t="s">
        <v>148</v>
      </c>
      <c r="D14" s="21" t="s">
        <v>164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1.25" customHeight="1" x14ac:dyDescent="0.25">
      <c r="B15" s="1" t="s">
        <v>7</v>
      </c>
      <c r="C15" s="1" t="s">
        <v>12</v>
      </c>
      <c r="D15" s="14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3.25" customHeight="1" x14ac:dyDescent="0.25">
      <c r="A16" s="19" t="s">
        <v>14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22" ht="10.5" customHeight="1" x14ac:dyDescent="0.25">
      <c r="P17" s="2" t="s">
        <v>16</v>
      </c>
    </row>
    <row r="18" spans="1:22" ht="32.25" customHeight="1" x14ac:dyDescent="0.25">
      <c r="A18" s="25" t="s">
        <v>17</v>
      </c>
      <c r="B18" s="25"/>
      <c r="C18" s="25"/>
      <c r="D18" s="25"/>
      <c r="E18" s="25"/>
      <c r="F18" s="25"/>
      <c r="G18" s="25" t="s">
        <v>18</v>
      </c>
      <c r="H18" s="25"/>
      <c r="I18" s="25"/>
      <c r="J18" s="25"/>
      <c r="K18" s="25"/>
      <c r="L18" s="25"/>
      <c r="M18" s="25" t="s">
        <v>22</v>
      </c>
      <c r="N18" s="25"/>
      <c r="O18" s="25"/>
      <c r="P18" s="25"/>
    </row>
    <row r="19" spans="1:22" ht="24.75" customHeight="1" x14ac:dyDescent="0.25">
      <c r="A19" s="26" t="s">
        <v>19</v>
      </c>
      <c r="B19" s="26"/>
      <c r="C19" s="26" t="s">
        <v>20</v>
      </c>
      <c r="D19" s="26"/>
      <c r="E19" s="26" t="s">
        <v>21</v>
      </c>
      <c r="F19" s="26"/>
      <c r="G19" s="26" t="s">
        <v>19</v>
      </c>
      <c r="H19" s="26"/>
      <c r="I19" s="26" t="s">
        <v>20</v>
      </c>
      <c r="J19" s="26"/>
      <c r="K19" s="26" t="s">
        <v>21</v>
      </c>
      <c r="L19" s="26"/>
      <c r="M19" s="26" t="s">
        <v>19</v>
      </c>
      <c r="N19" s="26"/>
      <c r="O19" s="27" t="s">
        <v>20</v>
      </c>
      <c r="P19" s="27" t="s">
        <v>21</v>
      </c>
    </row>
    <row r="20" spans="1:22" s="3" customFormat="1" ht="9" customHeight="1" x14ac:dyDescent="0.2">
      <c r="A20" s="12">
        <v>1</v>
      </c>
      <c r="B20" s="12"/>
      <c r="C20" s="12">
        <v>2</v>
      </c>
      <c r="D20" s="12"/>
      <c r="E20" s="12">
        <v>3</v>
      </c>
      <c r="F20" s="12"/>
      <c r="G20" s="12">
        <v>4</v>
      </c>
      <c r="H20" s="12"/>
      <c r="I20" s="12">
        <v>5</v>
      </c>
      <c r="J20" s="12"/>
      <c r="K20" s="12">
        <v>6</v>
      </c>
      <c r="L20" s="12"/>
      <c r="M20" s="12">
        <v>7</v>
      </c>
      <c r="N20" s="12"/>
      <c r="O20" s="10">
        <v>8</v>
      </c>
      <c r="P20" s="10">
        <v>9</v>
      </c>
    </row>
    <row r="21" spans="1:22" ht="19.5" customHeight="1" x14ac:dyDescent="0.25">
      <c r="A21" s="70">
        <f>24359915/1000</f>
        <v>24359.915000000001</v>
      </c>
      <c r="B21" s="70"/>
      <c r="C21" s="70">
        <f>120263/1000</f>
        <v>120.26300000000001</v>
      </c>
      <c r="D21" s="70"/>
      <c r="E21" s="70">
        <f>A21+C21</f>
        <v>24480.178</v>
      </c>
      <c r="F21" s="70"/>
      <c r="G21" s="70">
        <f>24310117.64/1000</f>
        <v>24310.11764</v>
      </c>
      <c r="H21" s="70"/>
      <c r="I21" s="70">
        <f>116194.01/1000</f>
        <v>116.19400999999999</v>
      </c>
      <c r="J21" s="70"/>
      <c r="K21" s="70">
        <f>G21+I21</f>
        <v>24426.31165</v>
      </c>
      <c r="L21" s="70"/>
      <c r="M21" s="70">
        <f>G21-A21</f>
        <v>-49.797360000000481</v>
      </c>
      <c r="N21" s="70"/>
      <c r="O21" s="71">
        <f>I21-C21</f>
        <v>-4.0689900000000137</v>
      </c>
      <c r="P21" s="72">
        <f>M21+O21</f>
        <v>-53.866350000000494</v>
      </c>
    </row>
    <row r="22" spans="1:22" ht="7.5" customHeight="1" x14ac:dyDescent="0.25">
      <c r="K22" s="3"/>
    </row>
    <row r="23" spans="1:22" x14ac:dyDescent="0.25">
      <c r="A23" s="19" t="s">
        <v>23</v>
      </c>
      <c r="B23" s="23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22" ht="11.25" customHeight="1" x14ac:dyDescent="0.25">
      <c r="P24" s="2" t="s">
        <v>16</v>
      </c>
    </row>
    <row r="25" spans="1:22" ht="31.5" customHeight="1" x14ac:dyDescent="0.25">
      <c r="A25" s="25" t="s">
        <v>25</v>
      </c>
      <c r="B25" s="25" t="s">
        <v>26</v>
      </c>
      <c r="C25" s="25" t="s">
        <v>27</v>
      </c>
      <c r="D25" s="25" t="s">
        <v>298</v>
      </c>
      <c r="E25" s="25"/>
      <c r="F25" s="25"/>
      <c r="G25" s="25" t="s">
        <v>28</v>
      </c>
      <c r="H25" s="25"/>
      <c r="I25" s="25"/>
      <c r="J25" s="25" t="s">
        <v>29</v>
      </c>
      <c r="K25" s="25"/>
      <c r="L25" s="25"/>
      <c r="M25" s="25" t="s">
        <v>22</v>
      </c>
      <c r="N25" s="25"/>
      <c r="O25" s="25"/>
      <c r="P25" s="32" t="s">
        <v>30</v>
      </c>
      <c r="Q25" s="33"/>
      <c r="R25" s="33"/>
      <c r="S25" s="33"/>
      <c r="T25" s="33"/>
      <c r="U25" s="33"/>
      <c r="V25" s="33"/>
    </row>
    <row r="26" spans="1:22" ht="32.25" customHeight="1" x14ac:dyDescent="0.25">
      <c r="A26" s="25"/>
      <c r="B26" s="25"/>
      <c r="C26" s="25"/>
      <c r="D26" s="25"/>
      <c r="E26" s="25"/>
      <c r="F26" s="25"/>
      <c r="G26" s="34" t="s">
        <v>19</v>
      </c>
      <c r="H26" s="34" t="s">
        <v>20</v>
      </c>
      <c r="I26" s="34" t="s">
        <v>21</v>
      </c>
      <c r="J26" s="34" t="s">
        <v>19</v>
      </c>
      <c r="K26" s="34" t="s">
        <v>20</v>
      </c>
      <c r="L26" s="34" t="s">
        <v>21</v>
      </c>
      <c r="M26" s="34" t="s">
        <v>19</v>
      </c>
      <c r="N26" s="34" t="s">
        <v>20</v>
      </c>
      <c r="O26" s="34" t="s">
        <v>21</v>
      </c>
      <c r="P26" s="32"/>
    </row>
    <row r="27" spans="1:22" s="4" customFormat="1" ht="9" customHeight="1" x14ac:dyDescent="0.25">
      <c r="A27" s="10">
        <v>1</v>
      </c>
      <c r="B27" s="10">
        <v>2</v>
      </c>
      <c r="C27" s="10">
        <v>3</v>
      </c>
      <c r="D27" s="12">
        <v>4</v>
      </c>
      <c r="E27" s="12"/>
      <c r="F27" s="12"/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1">
        <v>14</v>
      </c>
    </row>
    <row r="28" spans="1:22" ht="105" customHeight="1" x14ac:dyDescent="0.25">
      <c r="A28" s="29">
        <v>1</v>
      </c>
      <c r="B28" s="29">
        <v>1011190</v>
      </c>
      <c r="C28" s="74" t="s">
        <v>148</v>
      </c>
      <c r="D28" s="47" t="s">
        <v>351</v>
      </c>
      <c r="E28" s="15"/>
      <c r="F28" s="15"/>
      <c r="G28" s="9">
        <f>A21</f>
        <v>24359.915000000001</v>
      </c>
      <c r="H28" s="9">
        <f>C21</f>
        <v>120.26300000000001</v>
      </c>
      <c r="I28" s="9">
        <f>G28+H28</f>
        <v>24480.178</v>
      </c>
      <c r="J28" s="9">
        <f>G21</f>
        <v>24310.11764</v>
      </c>
      <c r="K28" s="9">
        <f>I21</f>
        <v>116.19400999999999</v>
      </c>
      <c r="L28" s="9">
        <f>J28+K28</f>
        <v>24426.31165</v>
      </c>
      <c r="M28" s="9">
        <f>J28-G28</f>
        <v>-49.797360000000481</v>
      </c>
      <c r="N28" s="9">
        <f>K28-H28</f>
        <v>-4.0689900000000137</v>
      </c>
      <c r="O28" s="9">
        <f>M28+N28</f>
        <v>-53.866350000000494</v>
      </c>
      <c r="P28" s="44" t="s">
        <v>352</v>
      </c>
    </row>
    <row r="29" spans="1:22" ht="12.75" customHeight="1" x14ac:dyDescent="0.25">
      <c r="D29" s="46"/>
      <c r="E29" s="46"/>
      <c r="F29" s="46"/>
    </row>
    <row r="30" spans="1:22" x14ac:dyDescent="0.25">
      <c r="A30" s="17" t="s">
        <v>31</v>
      </c>
      <c r="B30" s="23" t="s">
        <v>32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22" ht="11.25" customHeight="1" x14ac:dyDescent="0.25">
      <c r="P31" s="2" t="s">
        <v>16</v>
      </c>
    </row>
    <row r="32" spans="1:22" ht="33.75" customHeight="1" x14ac:dyDescent="0.25">
      <c r="A32" s="25" t="s">
        <v>33</v>
      </c>
      <c r="B32" s="25"/>
      <c r="C32" s="25"/>
      <c r="D32" s="25"/>
      <c r="E32" s="25"/>
      <c r="F32" s="25"/>
      <c r="G32" s="25" t="s">
        <v>28</v>
      </c>
      <c r="H32" s="25"/>
      <c r="I32" s="25"/>
      <c r="J32" s="25" t="s">
        <v>29</v>
      </c>
      <c r="K32" s="25"/>
      <c r="L32" s="25"/>
      <c r="M32" s="25" t="s">
        <v>22</v>
      </c>
      <c r="N32" s="25"/>
      <c r="O32" s="25"/>
      <c r="P32" s="25" t="s">
        <v>30</v>
      </c>
    </row>
    <row r="33" spans="1:16" ht="30" customHeight="1" x14ac:dyDescent="0.25">
      <c r="A33" s="25"/>
      <c r="B33" s="25"/>
      <c r="C33" s="25"/>
      <c r="D33" s="25"/>
      <c r="E33" s="25"/>
      <c r="F33" s="25"/>
      <c r="G33" s="34" t="s">
        <v>19</v>
      </c>
      <c r="H33" s="34" t="s">
        <v>20</v>
      </c>
      <c r="I33" s="34" t="s">
        <v>21</v>
      </c>
      <c r="J33" s="34" t="s">
        <v>19</v>
      </c>
      <c r="K33" s="34" t="s">
        <v>20</v>
      </c>
      <c r="L33" s="34" t="s">
        <v>21</v>
      </c>
      <c r="M33" s="34" t="s">
        <v>19</v>
      </c>
      <c r="N33" s="34" t="s">
        <v>20</v>
      </c>
      <c r="O33" s="34" t="s">
        <v>21</v>
      </c>
      <c r="P33" s="25"/>
    </row>
    <row r="34" spans="1:16" s="4" customFormat="1" ht="10.5" x14ac:dyDescent="0.25">
      <c r="A34" s="12">
        <v>1</v>
      </c>
      <c r="B34" s="12"/>
      <c r="C34" s="12"/>
      <c r="D34" s="12"/>
      <c r="E34" s="12"/>
      <c r="F34" s="12"/>
      <c r="G34" s="10">
        <v>2</v>
      </c>
      <c r="H34" s="10">
        <v>3</v>
      </c>
      <c r="I34" s="10">
        <v>4</v>
      </c>
      <c r="J34" s="10">
        <v>5</v>
      </c>
      <c r="K34" s="10">
        <v>6</v>
      </c>
      <c r="L34" s="10">
        <v>7</v>
      </c>
      <c r="M34" s="10">
        <v>8</v>
      </c>
      <c r="N34" s="10">
        <v>9</v>
      </c>
      <c r="O34" s="10">
        <v>10</v>
      </c>
      <c r="P34" s="10">
        <v>11</v>
      </c>
    </row>
    <row r="35" spans="1:16" ht="13.5" customHeight="1" x14ac:dyDescent="0.25">
      <c r="A35" s="80" t="s">
        <v>73</v>
      </c>
      <c r="B35" s="106"/>
      <c r="C35" s="106"/>
      <c r="D35" s="106"/>
      <c r="E35" s="106"/>
      <c r="F35" s="81"/>
      <c r="G35" s="9" t="s">
        <v>73</v>
      </c>
      <c r="H35" s="9" t="s">
        <v>73</v>
      </c>
      <c r="I35" s="9" t="s">
        <v>73</v>
      </c>
      <c r="J35" s="9" t="s">
        <v>73</v>
      </c>
      <c r="K35" s="9" t="s">
        <v>73</v>
      </c>
      <c r="L35" s="9" t="s">
        <v>73</v>
      </c>
      <c r="M35" s="9" t="s">
        <v>73</v>
      </c>
      <c r="N35" s="9" t="s">
        <v>73</v>
      </c>
      <c r="O35" s="9" t="s">
        <v>73</v>
      </c>
      <c r="P35" s="41" t="s">
        <v>73</v>
      </c>
    </row>
    <row r="36" spans="1:16" ht="12.75" customHeight="1" x14ac:dyDescent="0.25"/>
    <row r="37" spans="1:16" x14ac:dyDescent="0.25">
      <c r="A37" s="17" t="s">
        <v>34</v>
      </c>
      <c r="B37" s="23" t="s">
        <v>35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ht="11.25" customHeight="1" x14ac:dyDescent="0.25">
      <c r="P38" s="2" t="s">
        <v>16</v>
      </c>
    </row>
    <row r="39" spans="1:16" ht="44.25" customHeight="1" x14ac:dyDescent="0.25">
      <c r="A39" s="34" t="s">
        <v>25</v>
      </c>
      <c r="B39" s="34" t="s">
        <v>26</v>
      </c>
      <c r="C39" s="25" t="s">
        <v>36</v>
      </c>
      <c r="D39" s="25"/>
      <c r="E39" s="25"/>
      <c r="F39" s="25"/>
      <c r="G39" s="25"/>
      <c r="H39" s="34" t="s">
        <v>37</v>
      </c>
      <c r="I39" s="25" t="s">
        <v>38</v>
      </c>
      <c r="J39" s="25"/>
      <c r="K39" s="25" t="s">
        <v>28</v>
      </c>
      <c r="L39" s="25"/>
      <c r="M39" s="25" t="s">
        <v>39</v>
      </c>
      <c r="N39" s="25"/>
      <c r="O39" s="25" t="s">
        <v>22</v>
      </c>
      <c r="P39" s="25"/>
    </row>
    <row r="40" spans="1:16" s="4" customFormat="1" ht="11.25" customHeight="1" x14ac:dyDescent="0.25">
      <c r="A40" s="10">
        <v>1</v>
      </c>
      <c r="B40" s="10">
        <v>2</v>
      </c>
      <c r="C40" s="12">
        <v>3</v>
      </c>
      <c r="D40" s="12"/>
      <c r="E40" s="12"/>
      <c r="F40" s="12"/>
      <c r="G40" s="12"/>
      <c r="H40" s="10">
        <v>4</v>
      </c>
      <c r="I40" s="12">
        <v>5</v>
      </c>
      <c r="J40" s="12"/>
      <c r="K40" s="12">
        <v>6</v>
      </c>
      <c r="L40" s="12"/>
      <c r="M40" s="12">
        <v>7</v>
      </c>
      <c r="N40" s="12"/>
      <c r="O40" s="12">
        <v>8</v>
      </c>
      <c r="P40" s="12"/>
    </row>
    <row r="41" spans="1:16" s="36" customFormat="1" ht="21" customHeight="1" x14ac:dyDescent="0.25">
      <c r="A41" s="37"/>
      <c r="B41" s="37">
        <v>1011190</v>
      </c>
      <c r="C41" s="38" t="s">
        <v>165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</row>
    <row r="42" spans="1:16" s="36" customFormat="1" ht="21" customHeight="1" x14ac:dyDescent="0.25">
      <c r="A42" s="37">
        <v>1</v>
      </c>
      <c r="B42" s="37"/>
      <c r="C42" s="47" t="s">
        <v>56</v>
      </c>
      <c r="D42" s="47"/>
      <c r="E42" s="47"/>
      <c r="F42" s="47"/>
      <c r="G42" s="47"/>
      <c r="H42" s="29"/>
      <c r="I42" s="28"/>
      <c r="J42" s="28"/>
      <c r="K42" s="28"/>
      <c r="L42" s="28"/>
      <c r="M42" s="28"/>
      <c r="N42" s="28"/>
      <c r="O42" s="28"/>
      <c r="P42" s="28"/>
    </row>
    <row r="43" spans="1:16" s="36" customFormat="1" ht="57.75" customHeight="1" x14ac:dyDescent="0.25">
      <c r="A43" s="37"/>
      <c r="B43" s="37"/>
      <c r="C43" s="15" t="s">
        <v>83</v>
      </c>
      <c r="D43" s="15"/>
      <c r="E43" s="15"/>
      <c r="F43" s="15"/>
      <c r="G43" s="15"/>
      <c r="H43" s="29" t="s">
        <v>58</v>
      </c>
      <c r="I43" s="28" t="s">
        <v>297</v>
      </c>
      <c r="J43" s="28"/>
      <c r="K43" s="30">
        <f>E21</f>
        <v>24480.178</v>
      </c>
      <c r="L43" s="28"/>
      <c r="M43" s="30">
        <f>K21</f>
        <v>24426.31165</v>
      </c>
      <c r="N43" s="28"/>
      <c r="O43" s="30">
        <f>M43-K43</f>
        <v>-53.866350000000239</v>
      </c>
      <c r="P43" s="28"/>
    </row>
    <row r="44" spans="1:16" s="36" customFormat="1" ht="44.25" customHeight="1" x14ac:dyDescent="0.25">
      <c r="A44" s="37"/>
      <c r="B44" s="37"/>
      <c r="C44" s="15" t="s">
        <v>125</v>
      </c>
      <c r="D44" s="15"/>
      <c r="E44" s="15"/>
      <c r="F44" s="15"/>
      <c r="G44" s="15"/>
      <c r="H44" s="29" t="s">
        <v>67</v>
      </c>
      <c r="I44" s="28" t="s">
        <v>89</v>
      </c>
      <c r="J44" s="28"/>
      <c r="K44" s="28">
        <v>7</v>
      </c>
      <c r="L44" s="28"/>
      <c r="M44" s="28">
        <v>7</v>
      </c>
      <c r="N44" s="28"/>
      <c r="O44" s="48">
        <f>K44-M44</f>
        <v>0</v>
      </c>
      <c r="P44" s="48"/>
    </row>
    <row r="45" spans="1:16" s="36" customFormat="1" ht="45.75" customHeight="1" x14ac:dyDescent="0.25">
      <c r="A45" s="37"/>
      <c r="B45" s="37"/>
      <c r="C45" s="52" t="s">
        <v>166</v>
      </c>
      <c r="D45" s="53"/>
      <c r="E45" s="53"/>
      <c r="F45" s="53"/>
      <c r="G45" s="54"/>
      <c r="H45" s="29" t="s">
        <v>67</v>
      </c>
      <c r="I45" s="28" t="s">
        <v>281</v>
      </c>
      <c r="J45" s="28"/>
      <c r="K45" s="93">
        <v>327</v>
      </c>
      <c r="L45" s="94"/>
      <c r="M45" s="93">
        <v>326.8</v>
      </c>
      <c r="N45" s="94"/>
      <c r="O45" s="97">
        <f>M45-K45</f>
        <v>-0.19999999999998863</v>
      </c>
      <c r="P45" s="98"/>
    </row>
    <row r="46" spans="1:16" s="36" customFormat="1" ht="45.75" customHeight="1" x14ac:dyDescent="0.25">
      <c r="A46" s="37"/>
      <c r="B46" s="37"/>
      <c r="C46" s="52" t="s">
        <v>167</v>
      </c>
      <c r="D46" s="53"/>
      <c r="E46" s="53"/>
      <c r="F46" s="53"/>
      <c r="G46" s="54"/>
      <c r="H46" s="29" t="s">
        <v>67</v>
      </c>
      <c r="I46" s="28" t="s">
        <v>281</v>
      </c>
      <c r="J46" s="28"/>
      <c r="K46" s="80">
        <v>14.8</v>
      </c>
      <c r="L46" s="81"/>
      <c r="M46" s="93">
        <v>14.8</v>
      </c>
      <c r="N46" s="94"/>
      <c r="O46" s="97">
        <f>M46-K46</f>
        <v>0</v>
      </c>
      <c r="P46" s="98"/>
    </row>
    <row r="47" spans="1:16" s="36" customFormat="1" ht="43.5" customHeight="1" x14ac:dyDescent="0.25">
      <c r="A47" s="37"/>
      <c r="B47" s="37"/>
      <c r="C47" s="15" t="s">
        <v>88</v>
      </c>
      <c r="D47" s="15"/>
      <c r="E47" s="15"/>
      <c r="F47" s="15"/>
      <c r="G47" s="15"/>
      <c r="H47" s="29" t="s">
        <v>67</v>
      </c>
      <c r="I47" s="28" t="s">
        <v>281</v>
      </c>
      <c r="J47" s="28"/>
      <c r="K47" s="28">
        <f>K45+K46</f>
        <v>341.8</v>
      </c>
      <c r="L47" s="28"/>
      <c r="M47" s="50">
        <f>M45+M46</f>
        <v>341.6</v>
      </c>
      <c r="N47" s="50"/>
      <c r="O47" s="97">
        <f>M47-K47</f>
        <v>-0.19999999999998863</v>
      </c>
      <c r="P47" s="98"/>
    </row>
    <row r="48" spans="1:16" s="36" customFormat="1" ht="20.25" customHeight="1" x14ac:dyDescent="0.25">
      <c r="A48" s="38" t="s">
        <v>233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</row>
    <row r="49" spans="1:16" s="36" customFormat="1" ht="19.5" customHeight="1" x14ac:dyDescent="0.25">
      <c r="A49" s="52" t="s">
        <v>266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  <row r="50" spans="1:16" s="36" customFormat="1" ht="17.25" customHeight="1" x14ac:dyDescent="0.25">
      <c r="A50" s="37">
        <v>2</v>
      </c>
      <c r="B50" s="37"/>
      <c r="C50" s="47" t="s">
        <v>64</v>
      </c>
      <c r="D50" s="47"/>
      <c r="E50" s="47"/>
      <c r="F50" s="47"/>
      <c r="G50" s="47"/>
      <c r="H50" s="29"/>
      <c r="I50" s="28"/>
      <c r="J50" s="28"/>
      <c r="K50" s="28"/>
      <c r="L50" s="28"/>
      <c r="M50" s="28"/>
      <c r="N50" s="28"/>
      <c r="O50" s="28"/>
      <c r="P50" s="28"/>
    </row>
    <row r="51" spans="1:16" s="36" customFormat="1" ht="60" customHeight="1" x14ac:dyDescent="0.25">
      <c r="A51" s="37"/>
      <c r="B51" s="37"/>
      <c r="C51" s="15" t="s">
        <v>168</v>
      </c>
      <c r="D51" s="15"/>
      <c r="E51" s="15"/>
      <c r="F51" s="15"/>
      <c r="G51" s="15"/>
      <c r="H51" s="29" t="s">
        <v>92</v>
      </c>
      <c r="I51" s="28" t="s">
        <v>235</v>
      </c>
      <c r="J51" s="28"/>
      <c r="K51" s="28">
        <v>316</v>
      </c>
      <c r="L51" s="28"/>
      <c r="M51" s="49">
        <v>317</v>
      </c>
      <c r="N51" s="49"/>
      <c r="O51" s="48">
        <f>M51-K51</f>
        <v>1</v>
      </c>
      <c r="P51" s="48"/>
    </row>
    <row r="52" spans="1:16" s="36" customFormat="1" ht="44.25" customHeight="1" x14ac:dyDescent="0.25">
      <c r="A52" s="37"/>
      <c r="B52" s="37"/>
      <c r="C52" s="52" t="s">
        <v>169</v>
      </c>
      <c r="D52" s="53"/>
      <c r="E52" s="53"/>
      <c r="F52" s="53"/>
      <c r="G52" s="54"/>
      <c r="H52" s="29"/>
      <c r="I52" s="28" t="s">
        <v>268</v>
      </c>
      <c r="J52" s="28"/>
      <c r="K52" s="88">
        <f>K51/K44</f>
        <v>45.142857142857146</v>
      </c>
      <c r="L52" s="89"/>
      <c r="M52" s="88">
        <f>M51/M44</f>
        <v>45.285714285714285</v>
      </c>
      <c r="N52" s="89"/>
      <c r="O52" s="48">
        <f>M52-K52</f>
        <v>0.1428571428571388</v>
      </c>
      <c r="P52" s="48"/>
    </row>
    <row r="53" spans="1:16" s="36" customFormat="1" ht="18" customHeight="1" x14ac:dyDescent="0.25">
      <c r="A53" s="37">
        <v>3</v>
      </c>
      <c r="B53" s="37"/>
      <c r="C53" s="47" t="s">
        <v>68</v>
      </c>
      <c r="D53" s="47"/>
      <c r="E53" s="47"/>
      <c r="F53" s="47"/>
      <c r="G53" s="47"/>
      <c r="H53" s="29"/>
      <c r="I53" s="28"/>
      <c r="J53" s="28"/>
      <c r="K53" s="28"/>
      <c r="L53" s="28"/>
      <c r="M53" s="28"/>
      <c r="N53" s="28"/>
      <c r="O53" s="28"/>
      <c r="P53" s="28"/>
    </row>
    <row r="54" spans="1:16" s="36" customFormat="1" ht="15" customHeight="1" x14ac:dyDescent="0.25">
      <c r="A54" s="37"/>
      <c r="B54" s="37"/>
      <c r="C54" s="15" t="s">
        <v>170</v>
      </c>
      <c r="D54" s="15"/>
      <c r="E54" s="15"/>
      <c r="F54" s="15"/>
      <c r="G54" s="15"/>
      <c r="H54" s="29" t="s">
        <v>171</v>
      </c>
      <c r="I54" s="28" t="s">
        <v>72</v>
      </c>
      <c r="J54" s="28"/>
      <c r="K54" s="55">
        <f>K45/K51</f>
        <v>1.0348101265822784</v>
      </c>
      <c r="L54" s="55"/>
      <c r="M54" s="55">
        <f>M45/M51</f>
        <v>1.0309148264984227</v>
      </c>
      <c r="N54" s="55"/>
      <c r="O54" s="55">
        <f>K54-M54</f>
        <v>3.8953000838557461E-3</v>
      </c>
      <c r="P54" s="55"/>
    </row>
    <row r="55" spans="1:16" s="36" customFormat="1" ht="19.5" customHeight="1" x14ac:dyDescent="0.25">
      <c r="A55" s="38" t="s">
        <v>233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0"/>
    </row>
    <row r="56" spans="1:16" s="36" customFormat="1" ht="15.75" customHeight="1" x14ac:dyDescent="0.25">
      <c r="A56" s="52" t="s">
        <v>267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  <row r="57" spans="1:16" s="36" customFormat="1" ht="19.5" customHeight="1" x14ac:dyDescent="0.25">
      <c r="A57" s="47" t="s">
        <v>240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6" s="36" customFormat="1" ht="32.25" customHeight="1" x14ac:dyDescent="0.25">
      <c r="A58" s="52" t="s">
        <v>296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</row>
    <row r="59" spans="1:16" s="82" customFormat="1" ht="9.75" customHeight="1" x14ac:dyDescent="0.25">
      <c r="H59" s="83"/>
    </row>
    <row r="60" spans="1:16" x14ac:dyDescent="0.25">
      <c r="A60" s="17" t="s">
        <v>40</v>
      </c>
      <c r="B60" s="23" t="s">
        <v>305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6" ht="12" customHeight="1" x14ac:dyDescent="0.25">
      <c r="P61" s="2" t="s">
        <v>16</v>
      </c>
    </row>
    <row r="62" spans="1:16" ht="33.75" customHeight="1" x14ac:dyDescent="0.25">
      <c r="A62" s="59" t="s">
        <v>41</v>
      </c>
      <c r="B62" s="60" t="s">
        <v>42</v>
      </c>
      <c r="C62" s="61"/>
      <c r="D62" s="59" t="s">
        <v>26</v>
      </c>
      <c r="E62" s="25" t="s">
        <v>43</v>
      </c>
      <c r="F62" s="25"/>
      <c r="G62" s="25"/>
      <c r="H62" s="25" t="s">
        <v>44</v>
      </c>
      <c r="I62" s="25"/>
      <c r="J62" s="25"/>
      <c r="K62" s="25" t="s">
        <v>45</v>
      </c>
      <c r="L62" s="25"/>
      <c r="M62" s="25"/>
      <c r="N62" s="25" t="s">
        <v>46</v>
      </c>
      <c r="O62" s="25"/>
      <c r="P62" s="25"/>
    </row>
    <row r="63" spans="1:16" ht="45" x14ac:dyDescent="0.25">
      <c r="A63" s="62"/>
      <c r="B63" s="63"/>
      <c r="C63" s="64"/>
      <c r="D63" s="62"/>
      <c r="E63" s="34" t="s">
        <v>19</v>
      </c>
      <c r="F63" s="34" t="s">
        <v>20</v>
      </c>
      <c r="G63" s="34" t="s">
        <v>21</v>
      </c>
      <c r="H63" s="34" t="s">
        <v>19</v>
      </c>
      <c r="I63" s="34" t="s">
        <v>20</v>
      </c>
      <c r="J63" s="34" t="s">
        <v>21</v>
      </c>
      <c r="K63" s="34" t="s">
        <v>19</v>
      </c>
      <c r="L63" s="34" t="s">
        <v>20</v>
      </c>
      <c r="M63" s="34" t="s">
        <v>21</v>
      </c>
      <c r="N63" s="34" t="s">
        <v>19</v>
      </c>
      <c r="O63" s="34" t="s">
        <v>20</v>
      </c>
      <c r="P63" s="34" t="s">
        <v>21</v>
      </c>
    </row>
    <row r="64" spans="1:16" s="4" customFormat="1" ht="8.25" customHeight="1" x14ac:dyDescent="0.25">
      <c r="A64" s="10">
        <v>1</v>
      </c>
      <c r="B64" s="12">
        <v>2</v>
      </c>
      <c r="C64" s="12"/>
      <c r="D64" s="10">
        <v>3</v>
      </c>
      <c r="E64" s="10">
        <v>4</v>
      </c>
      <c r="F64" s="10">
        <v>5</v>
      </c>
      <c r="G64" s="10">
        <v>6</v>
      </c>
      <c r="H64" s="10">
        <v>7</v>
      </c>
      <c r="I64" s="10">
        <v>8</v>
      </c>
      <c r="J64" s="10">
        <v>9</v>
      </c>
      <c r="K64" s="10">
        <v>10</v>
      </c>
      <c r="L64" s="10">
        <v>11</v>
      </c>
      <c r="M64" s="10">
        <v>12</v>
      </c>
      <c r="N64" s="10">
        <v>13</v>
      </c>
      <c r="O64" s="10">
        <v>14</v>
      </c>
      <c r="P64" s="10">
        <v>15</v>
      </c>
    </row>
    <row r="65" spans="1:16" x14ac:dyDescent="0.25">
      <c r="A65" s="57"/>
      <c r="B65" s="67"/>
      <c r="C65" s="68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</row>
    <row r="66" spans="1:16" ht="5.25" customHeight="1" x14ac:dyDescent="0.25"/>
    <row r="67" spans="1:16" ht="12" customHeight="1" x14ac:dyDescent="0.25">
      <c r="A67" s="23" t="s">
        <v>306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1:16" ht="10.5" customHeight="1" x14ac:dyDescent="0.25">
      <c r="A68" s="23" t="s">
        <v>307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1:16" ht="11.25" customHeight="1" x14ac:dyDescent="0.25">
      <c r="A69" s="23" t="s">
        <v>308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1:16" ht="45" customHeigh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  <row r="72" spans="1:16" x14ac:dyDescent="0.25">
      <c r="A72" s="65" t="s">
        <v>47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5" t="s">
        <v>48</v>
      </c>
      <c r="N72" s="66"/>
      <c r="O72" s="66"/>
    </row>
    <row r="73" spans="1:16" ht="53.25" customHeight="1" x14ac:dyDescent="0.25"/>
    <row r="74" spans="1:16" x14ac:dyDescent="0.25">
      <c r="A74" s="65" t="str">
        <f>'1010'!A116</f>
        <v xml:space="preserve">Спеціаліст І категорії, бухгалтер управління освіти і науки 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 t="str">
        <f>'1010'!M116</f>
        <v>Ю.Філатова</v>
      </c>
    </row>
  </sheetData>
  <mergeCells count="141">
    <mergeCell ref="A48:P48"/>
    <mergeCell ref="A49:P49"/>
    <mergeCell ref="A55:P55"/>
    <mergeCell ref="A56:P56"/>
    <mergeCell ref="A57:P57"/>
    <mergeCell ref="A58:P58"/>
    <mergeCell ref="N62:P62"/>
    <mergeCell ref="B64:C64"/>
    <mergeCell ref="A67:P67"/>
    <mergeCell ref="C50:G50"/>
    <mergeCell ref="I50:J50"/>
    <mergeCell ref="K50:L50"/>
    <mergeCell ref="M50:N50"/>
    <mergeCell ref="O50:P50"/>
    <mergeCell ref="C51:G51"/>
    <mergeCell ref="I51:J51"/>
    <mergeCell ref="K51:L51"/>
    <mergeCell ref="M51:N51"/>
    <mergeCell ref="O51:P51"/>
    <mergeCell ref="B65:C65"/>
    <mergeCell ref="A68:P68"/>
    <mergeCell ref="A69:P69"/>
    <mergeCell ref="C52:G52"/>
    <mergeCell ref="I52:J52"/>
    <mergeCell ref="K52:L52"/>
    <mergeCell ref="M52:N52"/>
    <mergeCell ref="O52:P52"/>
    <mergeCell ref="A62:A63"/>
    <mergeCell ref="B62:C63"/>
    <mergeCell ref="D62:D63"/>
    <mergeCell ref="E62:G62"/>
    <mergeCell ref="H62:J62"/>
    <mergeCell ref="K62:M62"/>
    <mergeCell ref="B60:P60"/>
    <mergeCell ref="C53:G53"/>
    <mergeCell ref="I53:J53"/>
    <mergeCell ref="K53:L53"/>
    <mergeCell ref="M53:N53"/>
    <mergeCell ref="O53:P53"/>
    <mergeCell ref="C54:G54"/>
    <mergeCell ref="I54:J54"/>
    <mergeCell ref="K54:L54"/>
    <mergeCell ref="M54:N54"/>
    <mergeCell ref="O54:P54"/>
    <mergeCell ref="C46:G46"/>
    <mergeCell ref="I46:J46"/>
    <mergeCell ref="K46:L46"/>
    <mergeCell ref="M46:N46"/>
    <mergeCell ref="O46:P46"/>
    <mergeCell ref="C47:G47"/>
    <mergeCell ref="I47:J47"/>
    <mergeCell ref="K47:L47"/>
    <mergeCell ref="M47:N47"/>
    <mergeCell ref="O47:P47"/>
    <mergeCell ref="C44:G44"/>
    <mergeCell ref="I44:J44"/>
    <mergeCell ref="K44:L44"/>
    <mergeCell ref="M44:N44"/>
    <mergeCell ref="O44:P44"/>
    <mergeCell ref="C45:G45"/>
    <mergeCell ref="I45:J45"/>
    <mergeCell ref="K45:L45"/>
    <mergeCell ref="M45:N45"/>
    <mergeCell ref="O45:P45"/>
    <mergeCell ref="C42:G42"/>
    <mergeCell ref="I42:J42"/>
    <mergeCell ref="K42:L42"/>
    <mergeCell ref="M42:N42"/>
    <mergeCell ref="O42:P42"/>
    <mergeCell ref="C43:G43"/>
    <mergeCell ref="I43:J43"/>
    <mergeCell ref="K43:L43"/>
    <mergeCell ref="M43:N43"/>
    <mergeCell ref="O43:P43"/>
    <mergeCell ref="C40:G40"/>
    <mergeCell ref="I40:J40"/>
    <mergeCell ref="K40:L40"/>
    <mergeCell ref="M40:N40"/>
    <mergeCell ref="O40:P40"/>
    <mergeCell ref="C41:P41"/>
    <mergeCell ref="A34:F34"/>
    <mergeCell ref="A35:F35"/>
    <mergeCell ref="B37:P37"/>
    <mergeCell ref="C39:G39"/>
    <mergeCell ref="I39:J39"/>
    <mergeCell ref="K39:L39"/>
    <mergeCell ref="M39:N39"/>
    <mergeCell ref="O39:P39"/>
    <mergeCell ref="Q25:S25"/>
    <mergeCell ref="T25:V25"/>
    <mergeCell ref="D27:F27"/>
    <mergeCell ref="D28:F28"/>
    <mergeCell ref="B30:P30"/>
    <mergeCell ref="A32:F33"/>
    <mergeCell ref="G32:I32"/>
    <mergeCell ref="J32:L32"/>
    <mergeCell ref="M32:O32"/>
    <mergeCell ref="P32:P33"/>
    <mergeCell ref="M21:N21"/>
    <mergeCell ref="B23:P23"/>
    <mergeCell ref="A25:A26"/>
    <mergeCell ref="B25:B26"/>
    <mergeCell ref="C25:C26"/>
    <mergeCell ref="D25:F26"/>
    <mergeCell ref="G25:I25"/>
    <mergeCell ref="J25:L25"/>
    <mergeCell ref="M25:O25"/>
    <mergeCell ref="P25:P26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C13:P13"/>
    <mergeCell ref="D14:P14"/>
    <mergeCell ref="D15:P15"/>
    <mergeCell ref="B16:P16"/>
    <mergeCell ref="A18:F18"/>
    <mergeCell ref="G18:L18"/>
    <mergeCell ref="M18:P18"/>
    <mergeCell ref="A6:P6"/>
    <mergeCell ref="A7:P7"/>
    <mergeCell ref="A8:P8"/>
    <mergeCell ref="C10:P10"/>
    <mergeCell ref="C11:P11"/>
    <mergeCell ref="C12:P12"/>
  </mergeCells>
  <pageMargins left="0.19685039370078741" right="0.19685039370078741" top="0.39370078740157483" bottom="0.19685039370078741" header="0.11811023622047245" footer="0.11811023622047245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76"/>
  <sheetViews>
    <sheetView view="pageBreakPreview" topLeftCell="A32" zoomScale="70" zoomScaleSheetLayoutView="70" workbookViewId="0">
      <selection activeCell="I45" sqref="I45:J45"/>
    </sheetView>
  </sheetViews>
  <sheetFormatPr defaultRowHeight="15" x14ac:dyDescent="0.25"/>
  <cols>
    <col min="1" max="1" width="5" style="17" customWidth="1"/>
    <col min="2" max="2" width="10.28515625" style="17" customWidth="1"/>
    <col min="3" max="3" width="9.140625" style="17" customWidth="1"/>
    <col min="4" max="4" width="7.140625" style="17" customWidth="1"/>
    <col min="5" max="5" width="7.85546875" style="17" customWidth="1"/>
    <col min="6" max="6" width="8.85546875" style="17" customWidth="1"/>
    <col min="7" max="8" width="14.42578125" style="17" customWidth="1"/>
    <col min="9" max="9" width="31.7109375" style="17" customWidth="1"/>
    <col min="10" max="10" width="25.5703125" style="17" customWidth="1"/>
    <col min="11" max="11" width="16.42578125" style="17" customWidth="1"/>
    <col min="12" max="12" width="14" style="17" customWidth="1"/>
    <col min="13" max="13" width="14.5703125" style="17" customWidth="1"/>
    <col min="14" max="14" width="13.42578125" style="17" customWidth="1"/>
    <col min="15" max="15" width="18" style="17" customWidth="1"/>
    <col min="16" max="16" width="38" style="17" customWidth="1"/>
    <col min="17" max="16384" width="9.140625" style="17"/>
  </cols>
  <sheetData>
    <row r="1" spans="1:16" ht="14.25" customHeight="1" x14ac:dyDescent="0.25">
      <c r="P1" s="5" t="s">
        <v>0</v>
      </c>
    </row>
    <row r="2" spans="1:16" ht="13.5" customHeight="1" x14ac:dyDescent="0.25">
      <c r="P2" s="5" t="s">
        <v>1</v>
      </c>
    </row>
    <row r="3" spans="1:16" ht="12.75" customHeight="1" x14ac:dyDescent="0.25">
      <c r="P3" s="5" t="s">
        <v>2</v>
      </c>
    </row>
    <row r="6" spans="1:16" ht="17.25" customHeight="1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16.5" customHeight="1" x14ac:dyDescent="0.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5" customHeight="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1.25" customHeight="1" x14ac:dyDescent="0.25"/>
    <row r="10" spans="1:16" ht="17.25" customHeight="1" x14ac:dyDescent="0.25">
      <c r="A10" s="19" t="s">
        <v>6</v>
      </c>
      <c r="B10" s="20">
        <v>1000000</v>
      </c>
      <c r="C10" s="21" t="s">
        <v>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2.75" customHeight="1" x14ac:dyDescent="0.25">
      <c r="B11" s="1" t="s">
        <v>7</v>
      </c>
      <c r="C11" s="13" t="s">
        <v>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7.25" customHeight="1" x14ac:dyDescent="0.25">
      <c r="A12" s="19" t="s">
        <v>9</v>
      </c>
      <c r="B12" s="20">
        <v>1010000</v>
      </c>
      <c r="C12" s="21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9.75" customHeight="1" x14ac:dyDescent="0.25">
      <c r="B13" s="1" t="s">
        <v>7</v>
      </c>
      <c r="C13" s="13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8.75" customHeight="1" x14ac:dyDescent="0.25">
      <c r="A14" s="19" t="s">
        <v>11</v>
      </c>
      <c r="B14" s="20">
        <v>1011200</v>
      </c>
      <c r="C14" s="22" t="s">
        <v>148</v>
      </c>
      <c r="D14" s="21" t="s">
        <v>172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1.25" customHeight="1" x14ac:dyDescent="0.25">
      <c r="B15" s="1" t="s">
        <v>7</v>
      </c>
      <c r="C15" s="1" t="s">
        <v>12</v>
      </c>
      <c r="D15" s="14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8" customHeight="1" x14ac:dyDescent="0.25">
      <c r="A16" s="19" t="s">
        <v>14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22" ht="10.5" customHeight="1" x14ac:dyDescent="0.25">
      <c r="P17" s="2" t="s">
        <v>16</v>
      </c>
    </row>
    <row r="18" spans="1:22" ht="17.25" customHeight="1" x14ac:dyDescent="0.25">
      <c r="A18" s="25" t="s">
        <v>17</v>
      </c>
      <c r="B18" s="25"/>
      <c r="C18" s="25"/>
      <c r="D18" s="25"/>
      <c r="E18" s="25"/>
      <c r="F18" s="25"/>
      <c r="G18" s="25" t="s">
        <v>18</v>
      </c>
      <c r="H18" s="25"/>
      <c r="I18" s="25"/>
      <c r="J18" s="25"/>
      <c r="K18" s="25"/>
      <c r="L18" s="25"/>
      <c r="M18" s="25" t="s">
        <v>22</v>
      </c>
      <c r="N18" s="25"/>
      <c r="O18" s="25"/>
      <c r="P18" s="25"/>
    </row>
    <row r="19" spans="1:22" ht="27" customHeight="1" x14ac:dyDescent="0.25">
      <c r="A19" s="26" t="s">
        <v>19</v>
      </c>
      <c r="B19" s="26"/>
      <c r="C19" s="26" t="s">
        <v>20</v>
      </c>
      <c r="D19" s="26"/>
      <c r="E19" s="26" t="s">
        <v>21</v>
      </c>
      <c r="F19" s="26"/>
      <c r="G19" s="26" t="s">
        <v>19</v>
      </c>
      <c r="H19" s="26"/>
      <c r="I19" s="26" t="s">
        <v>20</v>
      </c>
      <c r="J19" s="26"/>
      <c r="K19" s="26" t="s">
        <v>21</v>
      </c>
      <c r="L19" s="26"/>
      <c r="M19" s="26" t="s">
        <v>19</v>
      </c>
      <c r="N19" s="26"/>
      <c r="O19" s="27" t="s">
        <v>20</v>
      </c>
      <c r="P19" s="27" t="s">
        <v>21</v>
      </c>
    </row>
    <row r="20" spans="1:22" s="3" customFormat="1" ht="13.5" customHeight="1" x14ac:dyDescent="0.2">
      <c r="A20" s="12">
        <v>1</v>
      </c>
      <c r="B20" s="12"/>
      <c r="C20" s="12">
        <v>2</v>
      </c>
      <c r="D20" s="12"/>
      <c r="E20" s="12">
        <v>3</v>
      </c>
      <c r="F20" s="12"/>
      <c r="G20" s="12">
        <v>4</v>
      </c>
      <c r="H20" s="12"/>
      <c r="I20" s="12">
        <v>5</v>
      </c>
      <c r="J20" s="12"/>
      <c r="K20" s="12">
        <v>6</v>
      </c>
      <c r="L20" s="12"/>
      <c r="M20" s="12">
        <v>7</v>
      </c>
      <c r="N20" s="12"/>
      <c r="O20" s="10">
        <v>8</v>
      </c>
      <c r="P20" s="10">
        <v>9</v>
      </c>
    </row>
    <row r="21" spans="1:22" ht="15" customHeight="1" x14ac:dyDescent="0.25">
      <c r="A21" s="70">
        <f>3489432/1000</f>
        <v>3489.4319999999998</v>
      </c>
      <c r="B21" s="70"/>
      <c r="C21" s="70">
        <f>96674/1000</f>
        <v>96.674000000000007</v>
      </c>
      <c r="D21" s="70"/>
      <c r="E21" s="70">
        <f>A21+C21</f>
        <v>3586.1059999999998</v>
      </c>
      <c r="F21" s="70"/>
      <c r="G21" s="70">
        <f>3385309.45/1000</f>
        <v>3385.3094500000002</v>
      </c>
      <c r="H21" s="70"/>
      <c r="I21" s="70">
        <f>49390.07/1000</f>
        <v>49.390070000000001</v>
      </c>
      <c r="J21" s="70"/>
      <c r="K21" s="70">
        <f>G21+I21</f>
        <v>3434.6995200000001</v>
      </c>
      <c r="L21" s="70"/>
      <c r="M21" s="70">
        <f>G21-A21</f>
        <v>-104.12254999999959</v>
      </c>
      <c r="N21" s="70"/>
      <c r="O21" s="71">
        <f>I21-C21</f>
        <v>-47.283930000000005</v>
      </c>
      <c r="P21" s="72">
        <f>M21+O21</f>
        <v>-151.40647999999959</v>
      </c>
    </row>
    <row r="22" spans="1:22" ht="11.25" customHeight="1" x14ac:dyDescent="0.25"/>
    <row r="23" spans="1:22" x14ac:dyDescent="0.25">
      <c r="A23" s="19" t="s">
        <v>23</v>
      </c>
      <c r="B23" s="23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22" ht="11.25" customHeight="1" x14ac:dyDescent="0.25">
      <c r="P24" s="2" t="s">
        <v>16</v>
      </c>
    </row>
    <row r="25" spans="1:22" ht="29.25" customHeight="1" x14ac:dyDescent="0.25">
      <c r="A25" s="25" t="s">
        <v>25</v>
      </c>
      <c r="B25" s="25" t="s">
        <v>26</v>
      </c>
      <c r="C25" s="25" t="s">
        <v>27</v>
      </c>
      <c r="D25" s="25" t="s">
        <v>298</v>
      </c>
      <c r="E25" s="25"/>
      <c r="F25" s="25"/>
      <c r="G25" s="25" t="s">
        <v>28</v>
      </c>
      <c r="H25" s="25"/>
      <c r="I25" s="25"/>
      <c r="J25" s="25" t="s">
        <v>29</v>
      </c>
      <c r="K25" s="25"/>
      <c r="L25" s="25"/>
      <c r="M25" s="25" t="s">
        <v>22</v>
      </c>
      <c r="N25" s="25"/>
      <c r="O25" s="25"/>
      <c r="P25" s="32" t="s">
        <v>30</v>
      </c>
      <c r="Q25" s="33"/>
      <c r="R25" s="33"/>
      <c r="S25" s="33"/>
      <c r="T25" s="33"/>
      <c r="U25" s="33"/>
      <c r="V25" s="33"/>
    </row>
    <row r="26" spans="1:22" ht="32.25" customHeight="1" x14ac:dyDescent="0.25">
      <c r="A26" s="25"/>
      <c r="B26" s="25"/>
      <c r="C26" s="25"/>
      <c r="D26" s="25"/>
      <c r="E26" s="25"/>
      <c r="F26" s="25"/>
      <c r="G26" s="34" t="s">
        <v>19</v>
      </c>
      <c r="H26" s="34" t="s">
        <v>20</v>
      </c>
      <c r="I26" s="34" t="s">
        <v>21</v>
      </c>
      <c r="J26" s="34" t="s">
        <v>19</v>
      </c>
      <c r="K26" s="34" t="s">
        <v>20</v>
      </c>
      <c r="L26" s="34" t="s">
        <v>21</v>
      </c>
      <c r="M26" s="34" t="s">
        <v>19</v>
      </c>
      <c r="N26" s="34" t="s">
        <v>20</v>
      </c>
      <c r="O26" s="34" t="s">
        <v>21</v>
      </c>
      <c r="P26" s="32"/>
    </row>
    <row r="27" spans="1:22" s="4" customFormat="1" ht="9" customHeight="1" x14ac:dyDescent="0.25">
      <c r="A27" s="10">
        <v>1</v>
      </c>
      <c r="B27" s="10">
        <v>2</v>
      </c>
      <c r="C27" s="10">
        <v>3</v>
      </c>
      <c r="D27" s="12">
        <v>4</v>
      </c>
      <c r="E27" s="12"/>
      <c r="F27" s="12"/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1">
        <v>14</v>
      </c>
    </row>
    <row r="28" spans="1:22" ht="105" customHeight="1" x14ac:dyDescent="0.25">
      <c r="A28" s="29">
        <v>1</v>
      </c>
      <c r="B28" s="29">
        <v>1011200</v>
      </c>
      <c r="C28" s="74" t="s">
        <v>148</v>
      </c>
      <c r="D28" s="47" t="s">
        <v>353</v>
      </c>
      <c r="E28" s="15"/>
      <c r="F28" s="15"/>
      <c r="G28" s="9">
        <f>A21</f>
        <v>3489.4319999999998</v>
      </c>
      <c r="H28" s="9">
        <f>C21</f>
        <v>96.674000000000007</v>
      </c>
      <c r="I28" s="9">
        <f>G28+H28</f>
        <v>3586.1059999999998</v>
      </c>
      <c r="J28" s="9">
        <f>G21</f>
        <v>3385.3094500000002</v>
      </c>
      <c r="K28" s="9">
        <f>I21</f>
        <v>49.390070000000001</v>
      </c>
      <c r="L28" s="9">
        <f>J28+K28</f>
        <v>3434.6995200000001</v>
      </c>
      <c r="M28" s="9">
        <f>J28-G28</f>
        <v>-104.12254999999959</v>
      </c>
      <c r="N28" s="9">
        <f>K28-H28</f>
        <v>-47.283930000000005</v>
      </c>
      <c r="O28" s="9">
        <f>M28+N28</f>
        <v>-151.40647999999959</v>
      </c>
      <c r="P28" s="107" t="s">
        <v>354</v>
      </c>
    </row>
    <row r="29" spans="1:22" ht="14.25" customHeight="1" x14ac:dyDescent="0.25">
      <c r="D29" s="46"/>
      <c r="E29" s="46"/>
      <c r="F29" s="46"/>
    </row>
    <row r="30" spans="1:22" x14ac:dyDescent="0.25">
      <c r="A30" s="17" t="s">
        <v>31</v>
      </c>
      <c r="B30" s="23" t="s">
        <v>32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22" ht="11.25" customHeight="1" x14ac:dyDescent="0.25">
      <c r="P31" s="2" t="s">
        <v>16</v>
      </c>
    </row>
    <row r="32" spans="1:22" ht="32.25" customHeight="1" x14ac:dyDescent="0.25">
      <c r="A32" s="25" t="s">
        <v>33</v>
      </c>
      <c r="B32" s="25"/>
      <c r="C32" s="25"/>
      <c r="D32" s="25"/>
      <c r="E32" s="25"/>
      <c r="F32" s="25"/>
      <c r="G32" s="25" t="s">
        <v>28</v>
      </c>
      <c r="H32" s="25"/>
      <c r="I32" s="25"/>
      <c r="J32" s="25" t="s">
        <v>29</v>
      </c>
      <c r="K32" s="25"/>
      <c r="L32" s="25"/>
      <c r="M32" s="25" t="s">
        <v>22</v>
      </c>
      <c r="N32" s="25"/>
      <c r="O32" s="25"/>
      <c r="P32" s="25" t="s">
        <v>30</v>
      </c>
    </row>
    <row r="33" spans="1:16" ht="27.75" customHeight="1" x14ac:dyDescent="0.25">
      <c r="A33" s="25"/>
      <c r="B33" s="25"/>
      <c r="C33" s="25"/>
      <c r="D33" s="25"/>
      <c r="E33" s="25"/>
      <c r="F33" s="25"/>
      <c r="G33" s="34" t="s">
        <v>19</v>
      </c>
      <c r="H33" s="34" t="s">
        <v>20</v>
      </c>
      <c r="I33" s="34" t="s">
        <v>21</v>
      </c>
      <c r="J33" s="34" t="s">
        <v>19</v>
      </c>
      <c r="K33" s="34" t="s">
        <v>20</v>
      </c>
      <c r="L33" s="34" t="s">
        <v>21</v>
      </c>
      <c r="M33" s="34" t="s">
        <v>19</v>
      </c>
      <c r="N33" s="34" t="s">
        <v>20</v>
      </c>
      <c r="O33" s="34" t="s">
        <v>21</v>
      </c>
      <c r="P33" s="25"/>
    </row>
    <row r="34" spans="1:16" s="4" customFormat="1" ht="10.5" x14ac:dyDescent="0.25">
      <c r="A34" s="12">
        <v>1</v>
      </c>
      <c r="B34" s="12"/>
      <c r="C34" s="12"/>
      <c r="D34" s="12"/>
      <c r="E34" s="12"/>
      <c r="F34" s="12"/>
      <c r="G34" s="10">
        <v>2</v>
      </c>
      <c r="H34" s="10">
        <v>3</v>
      </c>
      <c r="I34" s="10">
        <v>4</v>
      </c>
      <c r="J34" s="10">
        <v>5</v>
      </c>
      <c r="K34" s="10">
        <v>6</v>
      </c>
      <c r="L34" s="10">
        <v>7</v>
      </c>
      <c r="M34" s="10">
        <v>8</v>
      </c>
      <c r="N34" s="10">
        <v>9</v>
      </c>
      <c r="O34" s="10">
        <v>10</v>
      </c>
      <c r="P34" s="10">
        <v>11</v>
      </c>
    </row>
    <row r="35" spans="1:16" ht="15.75" customHeight="1" x14ac:dyDescent="0.25">
      <c r="A35" s="80" t="s">
        <v>73</v>
      </c>
      <c r="B35" s="106"/>
      <c r="C35" s="106"/>
      <c r="D35" s="106"/>
      <c r="E35" s="106"/>
      <c r="F35" s="81"/>
      <c r="G35" s="9" t="s">
        <v>73</v>
      </c>
      <c r="H35" s="9" t="s">
        <v>73</v>
      </c>
      <c r="I35" s="9" t="s">
        <v>73</v>
      </c>
      <c r="J35" s="9" t="s">
        <v>73</v>
      </c>
      <c r="K35" s="9" t="s">
        <v>73</v>
      </c>
      <c r="L35" s="9" t="s">
        <v>73</v>
      </c>
      <c r="M35" s="9" t="s">
        <v>73</v>
      </c>
      <c r="N35" s="9" t="s">
        <v>73</v>
      </c>
      <c r="O35" s="9" t="s">
        <v>73</v>
      </c>
      <c r="P35" s="41" t="s">
        <v>73</v>
      </c>
    </row>
    <row r="36" spans="1:16" ht="12" customHeight="1" x14ac:dyDescent="0.25"/>
    <row r="37" spans="1:16" x14ac:dyDescent="0.25">
      <c r="A37" s="17" t="s">
        <v>34</v>
      </c>
      <c r="B37" s="23" t="s">
        <v>35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ht="11.25" customHeight="1" x14ac:dyDescent="0.25">
      <c r="P38" s="2" t="s">
        <v>16</v>
      </c>
    </row>
    <row r="39" spans="1:16" ht="49.5" customHeight="1" x14ac:dyDescent="0.25">
      <c r="A39" s="34" t="s">
        <v>25</v>
      </c>
      <c r="B39" s="34" t="s">
        <v>26</v>
      </c>
      <c r="C39" s="25" t="s">
        <v>36</v>
      </c>
      <c r="D39" s="25"/>
      <c r="E39" s="25"/>
      <c r="F39" s="25"/>
      <c r="G39" s="25"/>
      <c r="H39" s="34" t="s">
        <v>37</v>
      </c>
      <c r="I39" s="25" t="s">
        <v>38</v>
      </c>
      <c r="J39" s="25"/>
      <c r="K39" s="25" t="s">
        <v>28</v>
      </c>
      <c r="L39" s="25"/>
      <c r="M39" s="25" t="s">
        <v>39</v>
      </c>
      <c r="N39" s="25"/>
      <c r="O39" s="25" t="s">
        <v>22</v>
      </c>
      <c r="P39" s="25"/>
    </row>
    <row r="40" spans="1:16" s="4" customFormat="1" ht="11.25" customHeight="1" x14ac:dyDescent="0.25">
      <c r="A40" s="10">
        <v>1</v>
      </c>
      <c r="B40" s="10">
        <v>2</v>
      </c>
      <c r="C40" s="12">
        <v>3</v>
      </c>
      <c r="D40" s="12"/>
      <c r="E40" s="12"/>
      <c r="F40" s="12"/>
      <c r="G40" s="12"/>
      <c r="H40" s="10">
        <v>4</v>
      </c>
      <c r="I40" s="12">
        <v>5</v>
      </c>
      <c r="J40" s="12"/>
      <c r="K40" s="12">
        <v>6</v>
      </c>
      <c r="L40" s="12"/>
      <c r="M40" s="12">
        <v>7</v>
      </c>
      <c r="N40" s="12"/>
      <c r="O40" s="12">
        <v>8</v>
      </c>
      <c r="P40" s="12"/>
    </row>
    <row r="41" spans="1:16" s="36" customFormat="1" ht="18" customHeight="1" x14ac:dyDescent="0.25">
      <c r="A41" s="37"/>
      <c r="B41" s="37">
        <v>1011200</v>
      </c>
      <c r="C41" s="38" t="s">
        <v>173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</row>
    <row r="42" spans="1:16" s="36" customFormat="1" ht="21" customHeight="1" x14ac:dyDescent="0.25">
      <c r="A42" s="37">
        <v>1</v>
      </c>
      <c r="B42" s="37"/>
      <c r="C42" s="47" t="s">
        <v>56</v>
      </c>
      <c r="D42" s="47"/>
      <c r="E42" s="47"/>
      <c r="F42" s="47"/>
      <c r="G42" s="47"/>
      <c r="H42" s="29"/>
      <c r="I42" s="28"/>
      <c r="J42" s="28"/>
      <c r="K42" s="28"/>
      <c r="L42" s="28"/>
      <c r="M42" s="28"/>
      <c r="N42" s="28"/>
      <c r="O42" s="28"/>
      <c r="P42" s="28"/>
    </row>
    <row r="43" spans="1:16" s="36" customFormat="1" ht="56.25" customHeight="1" x14ac:dyDescent="0.25">
      <c r="A43" s="37"/>
      <c r="B43" s="37"/>
      <c r="C43" s="15" t="s">
        <v>83</v>
      </c>
      <c r="D43" s="15"/>
      <c r="E43" s="15"/>
      <c r="F43" s="15"/>
      <c r="G43" s="15"/>
      <c r="H43" s="29" t="s">
        <v>58</v>
      </c>
      <c r="I43" s="28" t="s">
        <v>297</v>
      </c>
      <c r="J43" s="28"/>
      <c r="K43" s="30">
        <f>E21</f>
        <v>3586.1059999999998</v>
      </c>
      <c r="L43" s="28"/>
      <c r="M43" s="30">
        <f>K21</f>
        <v>3434.6995200000001</v>
      </c>
      <c r="N43" s="28"/>
      <c r="O43" s="30">
        <f>M43-K43</f>
        <v>-151.40647999999965</v>
      </c>
      <c r="P43" s="28"/>
    </row>
    <row r="44" spans="1:16" s="36" customFormat="1" ht="40.5" customHeight="1" x14ac:dyDescent="0.25">
      <c r="A44" s="37"/>
      <c r="B44" s="37"/>
      <c r="C44" s="15" t="s">
        <v>125</v>
      </c>
      <c r="D44" s="15"/>
      <c r="E44" s="15"/>
      <c r="F44" s="15"/>
      <c r="G44" s="15"/>
      <c r="H44" s="29" t="s">
        <v>67</v>
      </c>
      <c r="I44" s="80" t="s">
        <v>89</v>
      </c>
      <c r="J44" s="81"/>
      <c r="K44" s="28">
        <v>7</v>
      </c>
      <c r="L44" s="28"/>
      <c r="M44" s="28">
        <v>7</v>
      </c>
      <c r="N44" s="28"/>
      <c r="O44" s="48">
        <f>K44-M44</f>
        <v>0</v>
      </c>
      <c r="P44" s="48"/>
    </row>
    <row r="45" spans="1:16" s="36" customFormat="1" ht="44.25" customHeight="1" x14ac:dyDescent="0.25">
      <c r="A45" s="37"/>
      <c r="B45" s="37"/>
      <c r="C45" s="52" t="s">
        <v>166</v>
      </c>
      <c r="D45" s="53"/>
      <c r="E45" s="53"/>
      <c r="F45" s="53"/>
      <c r="G45" s="54"/>
      <c r="H45" s="29" t="s">
        <v>67</v>
      </c>
      <c r="I45" s="28" t="s">
        <v>281</v>
      </c>
      <c r="J45" s="28"/>
      <c r="K45" s="93">
        <v>48</v>
      </c>
      <c r="L45" s="94"/>
      <c r="M45" s="108">
        <f>((2*43)+48)/3</f>
        <v>44.666666666666664</v>
      </c>
      <c r="N45" s="109"/>
      <c r="O45" s="97">
        <f>M45-K45</f>
        <v>-3.3333333333333357</v>
      </c>
      <c r="P45" s="98"/>
    </row>
    <row r="46" spans="1:16" s="36" customFormat="1" ht="45" customHeight="1" x14ac:dyDescent="0.25">
      <c r="A46" s="37"/>
      <c r="B46" s="37"/>
      <c r="C46" s="52" t="s">
        <v>167</v>
      </c>
      <c r="D46" s="53"/>
      <c r="E46" s="53"/>
      <c r="F46" s="53"/>
      <c r="G46" s="54"/>
      <c r="H46" s="29" t="s">
        <v>67</v>
      </c>
      <c r="I46" s="28" t="s">
        <v>281</v>
      </c>
      <c r="J46" s="28"/>
      <c r="K46" s="93">
        <v>15.8</v>
      </c>
      <c r="L46" s="94"/>
      <c r="M46" s="93">
        <v>15.8</v>
      </c>
      <c r="N46" s="94"/>
      <c r="O46" s="97">
        <f>M46-K46</f>
        <v>0</v>
      </c>
      <c r="P46" s="98"/>
    </row>
    <row r="47" spans="1:16" s="36" customFormat="1" ht="48.75" customHeight="1" x14ac:dyDescent="0.25">
      <c r="A47" s="37"/>
      <c r="B47" s="37"/>
      <c r="C47" s="15" t="s">
        <v>88</v>
      </c>
      <c r="D47" s="15"/>
      <c r="E47" s="15"/>
      <c r="F47" s="15"/>
      <c r="G47" s="15"/>
      <c r="H47" s="29" t="s">
        <v>67</v>
      </c>
      <c r="I47" s="28" t="s">
        <v>281</v>
      </c>
      <c r="J47" s="28"/>
      <c r="K47" s="50">
        <f>K45+K46</f>
        <v>63.8</v>
      </c>
      <c r="L47" s="50"/>
      <c r="M47" s="50">
        <f>M45+M46</f>
        <v>60.466666666666669</v>
      </c>
      <c r="N47" s="50"/>
      <c r="O47" s="97">
        <f>M47-K47</f>
        <v>-3.3333333333333286</v>
      </c>
      <c r="P47" s="98"/>
    </row>
    <row r="48" spans="1:16" s="36" customFormat="1" ht="18.75" customHeight="1" x14ac:dyDescent="0.25">
      <c r="A48" s="38" t="s">
        <v>233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</row>
    <row r="49" spans="1:16" s="36" customFormat="1" ht="21" customHeight="1" x14ac:dyDescent="0.25">
      <c r="A49" s="52" t="s">
        <v>269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  <row r="50" spans="1:16" s="36" customFormat="1" ht="17.25" customHeight="1" x14ac:dyDescent="0.25">
      <c r="A50" s="37">
        <v>2</v>
      </c>
      <c r="B50" s="37"/>
      <c r="C50" s="47" t="s">
        <v>64</v>
      </c>
      <c r="D50" s="47"/>
      <c r="E50" s="47"/>
      <c r="F50" s="47"/>
      <c r="G50" s="47"/>
      <c r="H50" s="29"/>
      <c r="I50" s="28"/>
      <c r="J50" s="28"/>
      <c r="K50" s="28"/>
      <c r="L50" s="28"/>
      <c r="M50" s="28"/>
      <c r="N50" s="28"/>
      <c r="O50" s="28"/>
      <c r="P50" s="28"/>
    </row>
    <row r="51" spans="1:16" s="36" customFormat="1" ht="28.5" customHeight="1" x14ac:dyDescent="0.25">
      <c r="A51" s="37"/>
      <c r="B51" s="37"/>
      <c r="C51" s="15" t="s">
        <v>174</v>
      </c>
      <c r="D51" s="15"/>
      <c r="E51" s="15"/>
      <c r="F51" s="15"/>
      <c r="G51" s="15"/>
      <c r="H51" s="29" t="s">
        <v>92</v>
      </c>
      <c r="I51" s="28" t="s">
        <v>355</v>
      </c>
      <c r="J51" s="28"/>
      <c r="K51" s="28">
        <v>323</v>
      </c>
      <c r="L51" s="28"/>
      <c r="M51" s="49">
        <v>324</v>
      </c>
      <c r="N51" s="49"/>
      <c r="O51" s="48">
        <f>M51-K51</f>
        <v>1</v>
      </c>
      <c r="P51" s="48"/>
    </row>
    <row r="52" spans="1:16" s="36" customFormat="1" ht="18" customHeight="1" x14ac:dyDescent="0.25">
      <c r="A52" s="37">
        <v>3</v>
      </c>
      <c r="B52" s="37"/>
      <c r="C52" s="47" t="s">
        <v>68</v>
      </c>
      <c r="D52" s="47"/>
      <c r="E52" s="47"/>
      <c r="F52" s="47"/>
      <c r="G52" s="47"/>
      <c r="H52" s="29"/>
      <c r="I52" s="28"/>
      <c r="J52" s="28"/>
      <c r="K52" s="28"/>
      <c r="L52" s="28"/>
      <c r="M52" s="28"/>
      <c r="N52" s="28"/>
      <c r="O52" s="28"/>
      <c r="P52" s="28"/>
    </row>
    <row r="53" spans="1:16" s="36" customFormat="1" ht="30" customHeight="1" x14ac:dyDescent="0.25">
      <c r="A53" s="37"/>
      <c r="B53" s="37"/>
      <c r="C53" s="15" t="s">
        <v>176</v>
      </c>
      <c r="D53" s="15"/>
      <c r="E53" s="15"/>
      <c r="F53" s="15"/>
      <c r="G53" s="15"/>
      <c r="H53" s="29" t="s">
        <v>171</v>
      </c>
      <c r="I53" s="28" t="s">
        <v>72</v>
      </c>
      <c r="J53" s="28"/>
      <c r="K53" s="55">
        <f>K51/K47</f>
        <v>5.0626959247648902</v>
      </c>
      <c r="L53" s="55"/>
      <c r="M53" s="55">
        <f>M51/M47</f>
        <v>5.3583241455347297</v>
      </c>
      <c r="N53" s="55"/>
      <c r="O53" s="55">
        <f>K53-M53</f>
        <v>-0.29562822076983952</v>
      </c>
      <c r="P53" s="55"/>
    </row>
    <row r="54" spans="1:16" s="36" customFormat="1" ht="18" customHeight="1" x14ac:dyDescent="0.25">
      <c r="A54" s="38" t="s">
        <v>233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0"/>
    </row>
    <row r="55" spans="1:16" s="36" customFormat="1" ht="13.5" customHeight="1" x14ac:dyDescent="0.25">
      <c r="A55" s="52" t="s">
        <v>270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  <row r="56" spans="1:16" s="36" customFormat="1" ht="17.25" customHeight="1" x14ac:dyDescent="0.25">
      <c r="A56" s="47" t="s">
        <v>240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spans="1:16" s="36" customFormat="1" ht="15.75" customHeight="1" x14ac:dyDescent="0.25">
      <c r="A57" s="52" t="s">
        <v>356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  <row r="58" spans="1:16" s="82" customFormat="1" ht="11.25" customHeight="1" x14ac:dyDescent="0.25">
      <c r="H58" s="83"/>
    </row>
    <row r="59" spans="1:16" x14ac:dyDescent="0.25">
      <c r="A59" s="17" t="s">
        <v>40</v>
      </c>
      <c r="B59" s="23" t="s">
        <v>305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6" ht="12" customHeight="1" x14ac:dyDescent="0.25">
      <c r="P60" s="2" t="s">
        <v>16</v>
      </c>
    </row>
    <row r="61" spans="1:16" ht="33.75" customHeight="1" x14ac:dyDescent="0.25">
      <c r="A61" s="59" t="s">
        <v>41</v>
      </c>
      <c r="B61" s="60" t="s">
        <v>42</v>
      </c>
      <c r="C61" s="61"/>
      <c r="D61" s="59" t="s">
        <v>26</v>
      </c>
      <c r="E61" s="25" t="s">
        <v>43</v>
      </c>
      <c r="F61" s="25"/>
      <c r="G61" s="25"/>
      <c r="H61" s="25" t="s">
        <v>44</v>
      </c>
      <c r="I61" s="25"/>
      <c r="J61" s="25"/>
      <c r="K61" s="25" t="s">
        <v>45</v>
      </c>
      <c r="L61" s="25"/>
      <c r="M61" s="25"/>
      <c r="N61" s="25" t="s">
        <v>46</v>
      </c>
      <c r="O61" s="25"/>
      <c r="P61" s="25"/>
    </row>
    <row r="62" spans="1:16" ht="45" x14ac:dyDescent="0.25">
      <c r="A62" s="62"/>
      <c r="B62" s="63"/>
      <c r="C62" s="64"/>
      <c r="D62" s="62"/>
      <c r="E62" s="34" t="s">
        <v>19</v>
      </c>
      <c r="F62" s="34" t="s">
        <v>20</v>
      </c>
      <c r="G62" s="34" t="s">
        <v>21</v>
      </c>
      <c r="H62" s="34" t="s">
        <v>19</v>
      </c>
      <c r="I62" s="34" t="s">
        <v>20</v>
      </c>
      <c r="J62" s="34" t="s">
        <v>21</v>
      </c>
      <c r="K62" s="34" t="s">
        <v>19</v>
      </c>
      <c r="L62" s="34" t="s">
        <v>20</v>
      </c>
      <c r="M62" s="34" t="s">
        <v>21</v>
      </c>
      <c r="N62" s="34" t="s">
        <v>19</v>
      </c>
      <c r="O62" s="34" t="s">
        <v>20</v>
      </c>
      <c r="P62" s="34" t="s">
        <v>21</v>
      </c>
    </row>
    <row r="63" spans="1:16" s="4" customFormat="1" ht="8.25" customHeight="1" x14ac:dyDescent="0.25">
      <c r="A63" s="10">
        <v>1</v>
      </c>
      <c r="B63" s="12">
        <v>2</v>
      </c>
      <c r="C63" s="12"/>
      <c r="D63" s="10">
        <v>3</v>
      </c>
      <c r="E63" s="10">
        <v>4</v>
      </c>
      <c r="F63" s="10">
        <v>5</v>
      </c>
      <c r="G63" s="10">
        <v>6</v>
      </c>
      <c r="H63" s="10">
        <v>7</v>
      </c>
      <c r="I63" s="10">
        <v>8</v>
      </c>
      <c r="J63" s="10">
        <v>9</v>
      </c>
      <c r="K63" s="10">
        <v>10</v>
      </c>
      <c r="L63" s="10">
        <v>11</v>
      </c>
      <c r="M63" s="10">
        <v>12</v>
      </c>
      <c r="N63" s="10">
        <v>13</v>
      </c>
      <c r="O63" s="10">
        <v>14</v>
      </c>
      <c r="P63" s="10">
        <v>15</v>
      </c>
    </row>
    <row r="64" spans="1:16" x14ac:dyDescent="0.25">
      <c r="A64" s="57"/>
      <c r="B64" s="67"/>
      <c r="C64" s="68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</row>
    <row r="65" spans="1:16" ht="5.25" customHeight="1" x14ac:dyDescent="0.25"/>
    <row r="66" spans="1:16" ht="12" customHeight="1" x14ac:dyDescent="0.25">
      <c r="A66" s="23" t="s">
        <v>306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10.5" customHeight="1" x14ac:dyDescent="0.25">
      <c r="A67" s="23" t="s">
        <v>307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1:16" ht="11.25" customHeight="1" x14ac:dyDescent="0.25">
      <c r="A68" s="23" t="s">
        <v>308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1:16" ht="18" customHeigh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</row>
    <row r="70" spans="1:16" ht="45" customHeigh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  <row r="72" spans="1:16" x14ac:dyDescent="0.25">
      <c r="A72" s="65" t="s">
        <v>47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5" t="s">
        <v>48</v>
      </c>
      <c r="N72" s="66"/>
      <c r="O72" s="66"/>
    </row>
    <row r="73" spans="1:16" x14ac:dyDescent="0.25">
      <c r="A73" s="65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5"/>
      <c r="N73" s="66"/>
      <c r="O73" s="66"/>
    </row>
    <row r="74" spans="1:16" ht="45.75" customHeight="1" x14ac:dyDescent="0.25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5"/>
      <c r="N74" s="66"/>
      <c r="O74" s="66"/>
    </row>
    <row r="76" spans="1:16" x14ac:dyDescent="0.25">
      <c r="A76" s="65" t="s">
        <v>49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 t="s">
        <v>50</v>
      </c>
    </row>
  </sheetData>
  <mergeCells count="136">
    <mergeCell ref="A48:P48"/>
    <mergeCell ref="A49:P49"/>
    <mergeCell ref="A54:P54"/>
    <mergeCell ref="A55:P55"/>
    <mergeCell ref="A56:P56"/>
    <mergeCell ref="A57:P57"/>
    <mergeCell ref="N61:P61"/>
    <mergeCell ref="B63:C63"/>
    <mergeCell ref="A66:P66"/>
    <mergeCell ref="C52:G52"/>
    <mergeCell ref="I52:J52"/>
    <mergeCell ref="K52:L52"/>
    <mergeCell ref="M52:N52"/>
    <mergeCell ref="O52:P52"/>
    <mergeCell ref="C50:G50"/>
    <mergeCell ref="I50:J50"/>
    <mergeCell ref="K50:L50"/>
    <mergeCell ref="M50:N50"/>
    <mergeCell ref="O50:P50"/>
    <mergeCell ref="C51:G51"/>
    <mergeCell ref="I51:J51"/>
    <mergeCell ref="K51:L51"/>
    <mergeCell ref="M51:N51"/>
    <mergeCell ref="O51:P51"/>
    <mergeCell ref="A67:P67"/>
    <mergeCell ref="A68:P68"/>
    <mergeCell ref="A61:A62"/>
    <mergeCell ref="B61:C62"/>
    <mergeCell ref="D61:D62"/>
    <mergeCell ref="E61:G61"/>
    <mergeCell ref="H61:J61"/>
    <mergeCell ref="K61:M61"/>
    <mergeCell ref="C53:G53"/>
    <mergeCell ref="I53:J53"/>
    <mergeCell ref="K53:L53"/>
    <mergeCell ref="M53:N53"/>
    <mergeCell ref="O53:P53"/>
    <mergeCell ref="B59:P59"/>
    <mergeCell ref="B64:C64"/>
    <mergeCell ref="C46:G46"/>
    <mergeCell ref="I46:J46"/>
    <mergeCell ref="K46:L46"/>
    <mergeCell ref="M46:N46"/>
    <mergeCell ref="O46:P46"/>
    <mergeCell ref="C47:G47"/>
    <mergeCell ref="I47:J47"/>
    <mergeCell ref="K47:L47"/>
    <mergeCell ref="M47:N47"/>
    <mergeCell ref="O47:P47"/>
    <mergeCell ref="C44:G44"/>
    <mergeCell ref="I44:J44"/>
    <mergeCell ref="K44:L44"/>
    <mergeCell ref="M44:N44"/>
    <mergeCell ref="O44:P44"/>
    <mergeCell ref="C45:G45"/>
    <mergeCell ref="I45:J45"/>
    <mergeCell ref="K45:L45"/>
    <mergeCell ref="M45:N45"/>
    <mergeCell ref="O45:P45"/>
    <mergeCell ref="C42:G42"/>
    <mergeCell ref="I42:J42"/>
    <mergeCell ref="K42:L42"/>
    <mergeCell ref="M42:N42"/>
    <mergeCell ref="O42:P42"/>
    <mergeCell ref="C43:G43"/>
    <mergeCell ref="I43:J43"/>
    <mergeCell ref="K43:L43"/>
    <mergeCell ref="M43:N43"/>
    <mergeCell ref="O43:P43"/>
    <mergeCell ref="C40:G40"/>
    <mergeCell ref="I40:J40"/>
    <mergeCell ref="K40:L40"/>
    <mergeCell ref="M40:N40"/>
    <mergeCell ref="O40:P40"/>
    <mergeCell ref="C41:P41"/>
    <mergeCell ref="A34:F34"/>
    <mergeCell ref="A35:F35"/>
    <mergeCell ref="B37:P37"/>
    <mergeCell ref="C39:G39"/>
    <mergeCell ref="I39:J39"/>
    <mergeCell ref="K39:L39"/>
    <mergeCell ref="M39:N39"/>
    <mergeCell ref="O39:P39"/>
    <mergeCell ref="Q25:S25"/>
    <mergeCell ref="T25:V25"/>
    <mergeCell ref="D27:F27"/>
    <mergeCell ref="D28:F28"/>
    <mergeCell ref="B30:P30"/>
    <mergeCell ref="A32:F33"/>
    <mergeCell ref="G32:I32"/>
    <mergeCell ref="J32:L32"/>
    <mergeCell ref="M32:O32"/>
    <mergeCell ref="P32:P33"/>
    <mergeCell ref="M21:N21"/>
    <mergeCell ref="B23:P23"/>
    <mergeCell ref="A25:A26"/>
    <mergeCell ref="B25:B26"/>
    <mergeCell ref="C25:C26"/>
    <mergeCell ref="D25:F26"/>
    <mergeCell ref="G25:I25"/>
    <mergeCell ref="J25:L25"/>
    <mergeCell ref="M25:O25"/>
    <mergeCell ref="P25:P26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C13:P13"/>
    <mergeCell ref="D14:P14"/>
    <mergeCell ref="D15:P15"/>
    <mergeCell ref="B16:P16"/>
    <mergeCell ref="A18:F18"/>
    <mergeCell ref="G18:L18"/>
    <mergeCell ref="M18:P18"/>
    <mergeCell ref="A6:P6"/>
    <mergeCell ref="A7:P7"/>
    <mergeCell ref="A8:P8"/>
    <mergeCell ref="C10:P10"/>
    <mergeCell ref="C11:P11"/>
    <mergeCell ref="C12:P12"/>
  </mergeCells>
  <pageMargins left="0.19685039370078741" right="0.19685039370078741" top="0.39370078740157483" bottom="0.19685039370078741" header="0.11811023622047245" footer="0.11811023622047245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29</vt:i4>
      </vt:variant>
    </vt:vector>
  </HeadingPairs>
  <TitlesOfParts>
    <vt:vector size="44" baseType="lpstr">
      <vt:lpstr>1010</vt:lpstr>
      <vt:lpstr>1020</vt:lpstr>
      <vt:lpstr>1030</vt:lpstr>
      <vt:lpstr>1040</vt:lpstr>
      <vt:lpstr>1070</vt:lpstr>
      <vt:lpstr>1090</vt:lpstr>
      <vt:lpstr>1170</vt:lpstr>
      <vt:lpstr>1190</vt:lpstr>
      <vt:lpstr>1200</vt:lpstr>
      <vt:lpstr>1210</vt:lpstr>
      <vt:lpstr>1230</vt:lpstr>
      <vt:lpstr>3160</vt:lpstr>
      <vt:lpstr>9120</vt:lpstr>
      <vt:lpstr>6310</vt:lpstr>
      <vt:lpstr>5031</vt:lpstr>
      <vt:lpstr>'1010'!Заголовки_для_печати</vt:lpstr>
      <vt:lpstr>'1020'!Заголовки_для_печати</vt:lpstr>
      <vt:lpstr>'1030'!Заголовки_для_печати</vt:lpstr>
      <vt:lpstr>'1070'!Заголовки_для_печати</vt:lpstr>
      <vt:lpstr>'1090'!Заголовки_для_печати</vt:lpstr>
      <vt:lpstr>'1170'!Заголовки_для_печати</vt:lpstr>
      <vt:lpstr>'1190'!Заголовки_для_печати</vt:lpstr>
      <vt:lpstr>'1200'!Заголовки_для_печати</vt:lpstr>
      <vt:lpstr>'1210'!Заголовки_для_печати</vt:lpstr>
      <vt:lpstr>'1230'!Заголовки_для_печати</vt:lpstr>
      <vt:lpstr>'3160'!Заголовки_для_печати</vt:lpstr>
      <vt:lpstr>'5031'!Заголовки_для_печати</vt:lpstr>
      <vt:lpstr>'6310'!Заголовки_для_печати</vt:lpstr>
      <vt:lpstr>'9120'!Заголовки_для_печати</vt:lpstr>
      <vt:lpstr>'1010'!Область_печати</vt:lpstr>
      <vt:lpstr>'1020'!Область_печати</vt:lpstr>
      <vt:lpstr>'1030'!Область_печати</vt:lpstr>
      <vt:lpstr>'1040'!Область_печати</vt:lpstr>
      <vt:lpstr>'1070'!Область_печати</vt:lpstr>
      <vt:lpstr>'1090'!Область_печати</vt:lpstr>
      <vt:lpstr>'1170'!Область_печати</vt:lpstr>
      <vt:lpstr>'1190'!Область_печати</vt:lpstr>
      <vt:lpstr>'1200'!Область_печати</vt:lpstr>
      <vt:lpstr>'1210'!Область_печати</vt:lpstr>
      <vt:lpstr>'1230'!Область_печати</vt:lpstr>
      <vt:lpstr>'3160'!Область_печати</vt:lpstr>
      <vt:lpstr>'5031'!Область_печати</vt:lpstr>
      <vt:lpstr>'6310'!Область_печати</vt:lpstr>
      <vt:lpstr>'9120'!Область_печати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school536</dc:creator>
  <cp:lastModifiedBy>school536</cp:lastModifiedBy>
  <cp:lastPrinted>2018-01-22T14:51:33Z</cp:lastPrinted>
  <dcterms:created xsi:type="dcterms:W3CDTF">2018-01-15T09:02:39Z</dcterms:created>
  <dcterms:modified xsi:type="dcterms:W3CDTF">2018-01-22T14:51:43Z</dcterms:modified>
</cp:coreProperties>
</file>